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540" windowWidth="14430" windowHeight="60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<sst xmlns="http://schemas.openxmlformats.org/spreadsheetml/2006/main" count="218" uniqueCount="206">
  <si>
    <t>Connecticut Department of Public Health</t>
  </si>
  <si>
    <t>Childhood Lead Poisoning Prevention Program</t>
  </si>
  <si>
    <t>Numbers and Percents of Valid Elevated Blood Lead Levels</t>
  </si>
  <si>
    <t>among Children One and Two Years of Age</t>
  </si>
  <si>
    <t>% housing</t>
  </si>
  <si>
    <t>Number of</t>
  </si>
  <si>
    <t>Number and Percent of</t>
  </si>
  <si>
    <t xml:space="preserve">Number </t>
  </si>
  <si>
    <t>stock built</t>
  </si>
  <si>
    <t>Children Age</t>
  </si>
  <si>
    <t>Children Screened</t>
  </si>
  <si>
    <t>of Valid Blood</t>
  </si>
  <si>
    <t>Number</t>
  </si>
  <si>
    <t>Percent</t>
  </si>
  <si>
    <t>Connecticut</t>
  </si>
  <si>
    <t>Andover</t>
  </si>
  <si>
    <t>Ansonia</t>
  </si>
  <si>
    <t>Ashford</t>
  </si>
  <si>
    <t xml:space="preserve">Avon </t>
  </si>
  <si>
    <t xml:space="preserve">Barkhamsted </t>
  </si>
  <si>
    <t xml:space="preserve">Beacon Falls </t>
  </si>
  <si>
    <t xml:space="preserve">Berlin </t>
  </si>
  <si>
    <t xml:space="preserve">Bethany </t>
  </si>
  <si>
    <t xml:space="preserve">Bethel </t>
  </si>
  <si>
    <t xml:space="preserve">Bethlehem </t>
  </si>
  <si>
    <t xml:space="preserve">Bloomfield </t>
  </si>
  <si>
    <t xml:space="preserve">Bolton </t>
  </si>
  <si>
    <t xml:space="preserve">Bozrah </t>
  </si>
  <si>
    <t xml:space="preserve">Branford </t>
  </si>
  <si>
    <t xml:space="preserve">Bridgeport </t>
  </si>
  <si>
    <t xml:space="preserve">Bridgewater </t>
  </si>
  <si>
    <t xml:space="preserve">Bristol </t>
  </si>
  <si>
    <t xml:space="preserve">Brookfield </t>
  </si>
  <si>
    <t xml:space="preserve">Brooklyn </t>
  </si>
  <si>
    <t xml:space="preserve">Burlington </t>
  </si>
  <si>
    <t xml:space="preserve">Canaan </t>
  </si>
  <si>
    <t xml:space="preserve">Canterbury </t>
  </si>
  <si>
    <t xml:space="preserve">Canton </t>
  </si>
  <si>
    <t xml:space="preserve">Chaplin </t>
  </si>
  <si>
    <t xml:space="preserve">Cheshire </t>
  </si>
  <si>
    <t xml:space="preserve">Chester </t>
  </si>
  <si>
    <t xml:space="preserve">Clinton </t>
  </si>
  <si>
    <t xml:space="preserve">Colchester </t>
  </si>
  <si>
    <t xml:space="preserve">Colebrook </t>
  </si>
  <si>
    <t xml:space="preserve">Columbia </t>
  </si>
  <si>
    <t xml:space="preserve">Cornwall </t>
  </si>
  <si>
    <t xml:space="preserve">Coventry </t>
  </si>
  <si>
    <t xml:space="preserve">Cromwell </t>
  </si>
  <si>
    <t xml:space="preserve">Danbury </t>
  </si>
  <si>
    <t xml:space="preserve">Darien </t>
  </si>
  <si>
    <t xml:space="preserve">Deep River </t>
  </si>
  <si>
    <t xml:space="preserve">Derby </t>
  </si>
  <si>
    <t xml:space="preserve">Durham </t>
  </si>
  <si>
    <t xml:space="preserve">Eastford </t>
  </si>
  <si>
    <t xml:space="preserve">East Granby </t>
  </si>
  <si>
    <t xml:space="preserve">East Haddam </t>
  </si>
  <si>
    <t xml:space="preserve">East Hampton </t>
  </si>
  <si>
    <t xml:space="preserve">East Hartford </t>
  </si>
  <si>
    <t xml:space="preserve">East Haven </t>
  </si>
  <si>
    <t xml:space="preserve">East Lyme </t>
  </si>
  <si>
    <t xml:space="preserve">Easton </t>
  </si>
  <si>
    <t xml:space="preserve">East Windsor </t>
  </si>
  <si>
    <t xml:space="preserve">Ellington </t>
  </si>
  <si>
    <t xml:space="preserve">Enfield </t>
  </si>
  <si>
    <t xml:space="preserve">Essex </t>
  </si>
  <si>
    <t xml:space="preserve">Fairfield </t>
  </si>
  <si>
    <t xml:space="preserve">Farmington </t>
  </si>
  <si>
    <t xml:space="preserve">Franklin </t>
  </si>
  <si>
    <t xml:space="preserve">Glastonbury </t>
  </si>
  <si>
    <t xml:space="preserve">Goshen </t>
  </si>
  <si>
    <t xml:space="preserve">Granby </t>
  </si>
  <si>
    <t xml:space="preserve">Greenwich </t>
  </si>
  <si>
    <t xml:space="preserve">Griswold </t>
  </si>
  <si>
    <t xml:space="preserve">Groton </t>
  </si>
  <si>
    <t xml:space="preserve">Guilford </t>
  </si>
  <si>
    <t xml:space="preserve">Haddam </t>
  </si>
  <si>
    <t xml:space="preserve">Hamden </t>
  </si>
  <si>
    <t xml:space="preserve">Hampton </t>
  </si>
  <si>
    <t xml:space="preserve">Hartford </t>
  </si>
  <si>
    <t xml:space="preserve">Hartland </t>
  </si>
  <si>
    <t xml:space="preserve">Harwinton </t>
  </si>
  <si>
    <t xml:space="preserve">Hebron </t>
  </si>
  <si>
    <t xml:space="preserve">Kent </t>
  </si>
  <si>
    <t xml:space="preserve">Killingly </t>
  </si>
  <si>
    <t xml:space="preserve">Killingworth </t>
  </si>
  <si>
    <t xml:space="preserve">Lebanon </t>
  </si>
  <si>
    <t xml:space="preserve">Ledyard </t>
  </si>
  <si>
    <t xml:space="preserve">Lisbon </t>
  </si>
  <si>
    <t xml:space="preserve">Litchfield </t>
  </si>
  <si>
    <t xml:space="preserve">Lyme </t>
  </si>
  <si>
    <t xml:space="preserve">Madison </t>
  </si>
  <si>
    <t xml:space="preserve">Manchester </t>
  </si>
  <si>
    <t xml:space="preserve">Mansfield </t>
  </si>
  <si>
    <t xml:space="preserve">Marlborough </t>
  </si>
  <si>
    <t xml:space="preserve">Meriden </t>
  </si>
  <si>
    <t xml:space="preserve">Middlebury </t>
  </si>
  <si>
    <t xml:space="preserve">Middlefield </t>
  </si>
  <si>
    <t xml:space="preserve">Middletown </t>
  </si>
  <si>
    <t xml:space="preserve">Milford </t>
  </si>
  <si>
    <t xml:space="preserve">Monroe </t>
  </si>
  <si>
    <t xml:space="preserve">Montville </t>
  </si>
  <si>
    <t xml:space="preserve">Morris </t>
  </si>
  <si>
    <t xml:space="preserve">Naugatuck </t>
  </si>
  <si>
    <t xml:space="preserve">New Britain </t>
  </si>
  <si>
    <t xml:space="preserve">New Canaan </t>
  </si>
  <si>
    <t xml:space="preserve">New Fairfield </t>
  </si>
  <si>
    <t xml:space="preserve">New Hartford </t>
  </si>
  <si>
    <t xml:space="preserve">New Haven </t>
  </si>
  <si>
    <t xml:space="preserve">Newington </t>
  </si>
  <si>
    <t xml:space="preserve">New London </t>
  </si>
  <si>
    <t xml:space="preserve">New Milford </t>
  </si>
  <si>
    <t xml:space="preserve">Newtown </t>
  </si>
  <si>
    <t xml:space="preserve">Norfolk </t>
  </si>
  <si>
    <t xml:space="preserve">North Branford </t>
  </si>
  <si>
    <t xml:space="preserve">North Canaan </t>
  </si>
  <si>
    <t xml:space="preserve">North Haven </t>
  </si>
  <si>
    <t xml:space="preserve">North Stonington </t>
  </si>
  <si>
    <t xml:space="preserve">Norwalk </t>
  </si>
  <si>
    <t xml:space="preserve">Norwich </t>
  </si>
  <si>
    <t xml:space="preserve">Old Lyme </t>
  </si>
  <si>
    <t xml:space="preserve">Old Saybrook </t>
  </si>
  <si>
    <t xml:space="preserve">Orange </t>
  </si>
  <si>
    <t xml:space="preserve">Oxford </t>
  </si>
  <si>
    <t xml:space="preserve">Plainfield </t>
  </si>
  <si>
    <t xml:space="preserve">Plainville </t>
  </si>
  <si>
    <t xml:space="preserve">Plymouth </t>
  </si>
  <si>
    <t xml:space="preserve">Pomfret </t>
  </si>
  <si>
    <t xml:space="preserve">Portland </t>
  </si>
  <si>
    <t xml:space="preserve">Preston </t>
  </si>
  <si>
    <t xml:space="preserve">Prospect </t>
  </si>
  <si>
    <t xml:space="preserve">Putnam </t>
  </si>
  <si>
    <t xml:space="preserve">Redding </t>
  </si>
  <si>
    <t xml:space="preserve">Ridgefield </t>
  </si>
  <si>
    <t xml:space="preserve">Rocky Hill </t>
  </si>
  <si>
    <t xml:space="preserve">Roxbury </t>
  </si>
  <si>
    <t xml:space="preserve">Salem </t>
  </si>
  <si>
    <t xml:space="preserve">Salisbury </t>
  </si>
  <si>
    <t xml:space="preserve">Scotland </t>
  </si>
  <si>
    <t xml:space="preserve">Seymour </t>
  </si>
  <si>
    <t xml:space="preserve">Sharon </t>
  </si>
  <si>
    <t xml:space="preserve">Shelton </t>
  </si>
  <si>
    <t xml:space="preserve">Sherman </t>
  </si>
  <si>
    <t xml:space="preserve">Simsbury </t>
  </si>
  <si>
    <t xml:space="preserve">Somers </t>
  </si>
  <si>
    <t xml:space="preserve">Southbury </t>
  </si>
  <si>
    <t xml:space="preserve">Southington </t>
  </si>
  <si>
    <t xml:space="preserve">South Windsor </t>
  </si>
  <si>
    <t xml:space="preserve">Sprague </t>
  </si>
  <si>
    <t xml:space="preserve">Stafford </t>
  </si>
  <si>
    <t xml:space="preserve">Stamford </t>
  </si>
  <si>
    <t xml:space="preserve">Sterling </t>
  </si>
  <si>
    <t xml:space="preserve">Stonington </t>
  </si>
  <si>
    <t xml:space="preserve">Stratford </t>
  </si>
  <si>
    <t xml:space="preserve">Suffield </t>
  </si>
  <si>
    <t xml:space="preserve">Thomaston </t>
  </si>
  <si>
    <t xml:space="preserve">Thompson </t>
  </si>
  <si>
    <t xml:space="preserve">Tolland </t>
  </si>
  <si>
    <t xml:space="preserve">Torrington </t>
  </si>
  <si>
    <t xml:space="preserve">Trumbull </t>
  </si>
  <si>
    <t xml:space="preserve">Union </t>
  </si>
  <si>
    <t xml:space="preserve">Vernon </t>
  </si>
  <si>
    <t xml:space="preserve">Voluntown </t>
  </si>
  <si>
    <t xml:space="preserve">Wallingford </t>
  </si>
  <si>
    <t xml:space="preserve">Warren </t>
  </si>
  <si>
    <t xml:space="preserve">Washington </t>
  </si>
  <si>
    <t xml:space="preserve">Waterbury </t>
  </si>
  <si>
    <t xml:space="preserve">Waterford </t>
  </si>
  <si>
    <t xml:space="preserve">Watertown </t>
  </si>
  <si>
    <t xml:space="preserve">Westbrook </t>
  </si>
  <si>
    <t xml:space="preserve">West Hartford </t>
  </si>
  <si>
    <t xml:space="preserve">West Haven </t>
  </si>
  <si>
    <t xml:space="preserve">Weston </t>
  </si>
  <si>
    <t xml:space="preserve">Westport </t>
  </si>
  <si>
    <t xml:space="preserve">Wethersfield </t>
  </si>
  <si>
    <t xml:space="preserve">Willington </t>
  </si>
  <si>
    <t xml:space="preserve">Wilton </t>
  </si>
  <si>
    <t xml:space="preserve">Winchester </t>
  </si>
  <si>
    <t xml:space="preserve">Windham </t>
  </si>
  <si>
    <t xml:space="preserve">Windsor </t>
  </si>
  <si>
    <t xml:space="preserve">Windsor Locks </t>
  </si>
  <si>
    <t xml:space="preserve">Wolcott </t>
  </si>
  <si>
    <t xml:space="preserve">Woodbridge </t>
  </si>
  <si>
    <t xml:space="preserve">Woodbury </t>
  </si>
  <si>
    <t xml:space="preserve">Woodstock </t>
  </si>
  <si>
    <r>
      <t>before 1960</t>
    </r>
    <r>
      <rPr>
        <vertAlign val="superscript"/>
        <sz val="7"/>
        <rFont val="Arial"/>
        <family val="2"/>
      </rPr>
      <t>b</t>
    </r>
  </si>
  <si>
    <r>
      <t>1-2 years</t>
    </r>
    <r>
      <rPr>
        <vertAlign val="superscript"/>
        <sz val="8"/>
        <rFont val="Arial"/>
        <family val="2"/>
      </rPr>
      <t>b</t>
    </r>
  </si>
  <si>
    <r>
      <t xml:space="preserve">³ </t>
    </r>
    <r>
      <rPr>
        <sz val="8"/>
        <rFont val="Arial"/>
        <family val="2"/>
      </rPr>
      <t xml:space="preserve">10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</si>
  <si>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³ </t>
    </r>
    <r>
      <rPr>
        <sz val="8"/>
        <rFont val="Arial"/>
        <family val="2"/>
      </rPr>
      <t xml:space="preserve">20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</si>
  <si>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>Lead Tests</t>
    </r>
    <r>
      <rPr>
        <vertAlign val="superscript"/>
        <sz val="8"/>
        <rFont val="Arial"/>
        <family val="2"/>
      </rPr>
      <t>c</t>
    </r>
  </si>
  <si>
    <r>
      <t xml:space="preserve">b </t>
    </r>
    <r>
      <rPr>
        <sz val="10"/>
        <rFont val="Arial"/>
        <family val="2"/>
      </rPr>
      <t>from 2000 U.S. Census (data for housing stock built pre1950 not readily available for all CT towns)</t>
    </r>
  </si>
  <si>
    <t xml:space="preserve">                          CY 2003 data</t>
  </si>
  <si>
    <r>
      <t xml:space="preserve">a </t>
    </r>
    <r>
      <rPr>
        <sz val="10"/>
        <rFont val="Arial"/>
        <family val="2"/>
      </rPr>
      <t>any test (capillary or venous) in LSS from 01/01/2003 - 12/31/2003</t>
    </r>
  </si>
  <si>
    <t xml:space="preserve">                                                  Validated Elevated Blood Lead Levels</t>
  </si>
  <si>
    <r>
      <t>a Screening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test in CY 2003</t>
    </r>
  </si>
  <si>
    <r>
      <t xml:space="preserve">Children Age </t>
    </r>
    <r>
      <rPr>
        <u val="single"/>
        <sz val="8"/>
        <rFont val="Arial"/>
        <family val="2"/>
      </rPr>
      <t>One and Two Years</t>
    </r>
    <r>
      <rPr>
        <sz val="8"/>
        <rFont val="Arial"/>
        <family val="2"/>
      </rPr>
      <t xml:space="preserve"> with </t>
    </r>
  </si>
  <si>
    <r>
      <t xml:space="preserve">10-14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</si>
  <si>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15-19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</si>
  <si>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20-44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</si>
  <si>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45+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</si>
  <si>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t>CY 2001</t>
  </si>
  <si>
    <t>CY 2002</t>
  </si>
  <si>
    <t>CY 2003</t>
  </si>
  <si>
    <t>By-Town</t>
  </si>
  <si>
    <r>
      <t xml:space="preserve">c </t>
    </r>
    <r>
      <rPr>
        <sz val="10"/>
        <rFont val="Arial"/>
        <family val="2"/>
      </rPr>
      <t xml:space="preserve">valid blood lead test = venous sample, fingerstick &lt; 10, or fingerstick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10 followed by another test within 90 days</t>
    </r>
  </si>
  <si>
    <t>Cumulative Statistics</t>
  </si>
  <si>
    <t>1 &amp; 2 years old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</si>
</sst>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\ \ \ \ \ "/>
    <numFmt numFmtId="167" formatCode="0.0\ \ \ \ \ "/>
  </numFmts>
  <fonts count="1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8"/>
      <name val="Symbol"/>
      <family val="1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double"/>
      <bottom style="thin">
        <color indexed="8"/>
      </bottom>
    </border>
    <border>
      <left style="thin"/>
      <right style="thin"/>
      <top style="thin">
        <color indexed="8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36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3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" fontId="1" fillId="0" borderId="1" xfId="0" applyNumberFormat="1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2" fillId="0" borderId="9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7" fillId="0" borderId="0" xfId="15" applyNumberFormat="1" applyFont="1" applyBorder="1" applyAlignment="1" applyProtection="1">
      <alignment/>
      <protection/>
    </xf>
    <xf numFmtId="1" fontId="7" fillId="0" borderId="0" xfId="0" applyNumberFormat="1" applyFont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1" fillId="0" borderId="1" xfId="0" applyNumberFormat="1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Continuous"/>
    </xf>
    <xf numFmtId="0" fontId="1" fillId="0" borderId="0" xfId="0" applyFont="1" applyFill="1" applyAlignment="1">
      <alignment/>
    </xf>
    <xf numFmtId="0" fontId="1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23" xfId="0" applyNumberFormat="1" applyFont="1" applyBorder="1" applyAlignment="1">
      <alignment horizontal="centerContinuous"/>
    </xf>
    <xf numFmtId="1" fontId="1" fillId="0" borderId="24" xfId="0" applyNumberFormat="1" applyFont="1" applyBorder="1" applyAlignment="1">
      <alignment horizontal="centerContinuous"/>
    </xf>
    <xf numFmtId="0" fontId="1" fillId="0" borderId="25" xfId="0" applyFont="1" applyFill="1" applyBorder="1" applyAlignment="1">
      <alignment horizontal="center"/>
    </xf>
    <xf numFmtId="166" fontId="1" fillId="0" borderId="26" xfId="15" applyNumberFormat="1" applyFont="1" applyFill="1" applyBorder="1" applyAlignment="1" applyProtection="1">
      <alignment/>
      <protection/>
    </xf>
    <xf numFmtId="166" fontId="1" fillId="0" borderId="7" xfId="0" applyNumberFormat="1" applyFont="1" applyFill="1" applyBorder="1" applyAlignment="1">
      <alignment/>
    </xf>
    <xf numFmtId="167" fontId="1" fillId="0" borderId="6" xfId="21" applyNumberFormat="1" applyFont="1" applyFill="1" applyBorder="1" applyAlignment="1" applyProtection="1">
      <alignment/>
      <protection/>
    </xf>
    <xf numFmtId="166" fontId="1" fillId="0" borderId="27" xfId="15" applyNumberFormat="1" applyFont="1" applyFill="1" applyBorder="1" applyAlignment="1" applyProtection="1">
      <alignment/>
      <protection/>
    </xf>
    <xf numFmtId="166" fontId="1" fillId="0" borderId="28" xfId="15" applyNumberFormat="1" applyFont="1" applyFill="1" applyBorder="1" applyAlignment="1" applyProtection="1">
      <alignment/>
      <protection/>
    </xf>
    <xf numFmtId="167" fontId="1" fillId="0" borderId="29" xfId="21" applyNumberFormat="1" applyFont="1" applyBorder="1" applyAlignment="1" applyProtection="1">
      <alignment/>
      <protection/>
    </xf>
    <xf numFmtId="167" fontId="1" fillId="0" borderId="6" xfId="21" applyNumberFormat="1" applyFont="1" applyBorder="1" applyAlignment="1" applyProtection="1">
      <alignment/>
      <protection/>
    </xf>
    <xf numFmtId="167" fontId="1" fillId="0" borderId="30" xfId="21" applyNumberFormat="1" applyFont="1" applyBorder="1" applyAlignment="1" applyProtection="1">
      <alignment/>
      <protection/>
    </xf>
    <xf numFmtId="166" fontId="1" fillId="0" borderId="31" xfId="0" applyNumberFormat="1" applyFont="1" applyFill="1" applyBorder="1" applyAlignment="1">
      <alignment/>
    </xf>
    <xf numFmtId="167" fontId="1" fillId="0" borderId="28" xfId="21" applyNumberFormat="1" applyFont="1" applyBorder="1" applyAlignment="1" applyProtection="1">
      <alignment/>
      <protection/>
    </xf>
    <xf numFmtId="166" fontId="1" fillId="0" borderId="32" xfId="15" applyNumberFormat="1" applyFont="1" applyFill="1" applyBorder="1" applyAlignment="1" applyProtection="1">
      <alignment/>
      <protection/>
    </xf>
    <xf numFmtId="166" fontId="1" fillId="0" borderId="33" xfId="0" applyNumberFormat="1" applyFont="1" applyFill="1" applyBorder="1" applyAlignment="1">
      <alignment/>
    </xf>
    <xf numFmtId="167" fontId="1" fillId="0" borderId="13" xfId="21" applyNumberFormat="1" applyFont="1" applyFill="1" applyBorder="1" applyAlignment="1" applyProtection="1">
      <alignment/>
      <protection/>
    </xf>
    <xf numFmtId="166" fontId="1" fillId="0" borderId="34" xfId="15" applyNumberFormat="1" applyFont="1" applyFill="1" applyBorder="1" applyAlignment="1" applyProtection="1">
      <alignment/>
      <protection/>
    </xf>
    <xf numFmtId="167" fontId="1" fillId="0" borderId="35" xfId="21" applyNumberFormat="1" applyFont="1" applyBorder="1" applyAlignment="1" applyProtection="1">
      <alignment/>
      <protection/>
    </xf>
    <xf numFmtId="167" fontId="1" fillId="0" borderId="13" xfId="21" applyNumberFormat="1" applyFont="1" applyBorder="1" applyAlignment="1" applyProtection="1">
      <alignment/>
      <protection/>
    </xf>
    <xf numFmtId="167" fontId="1" fillId="0" borderId="36" xfId="21" applyNumberFormat="1" applyFont="1" applyBorder="1" applyAlignment="1" applyProtection="1">
      <alignment/>
      <protection/>
    </xf>
    <xf numFmtId="0" fontId="11" fillId="0" borderId="37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1" fontId="0" fillId="0" borderId="1" xfId="0" applyNumberFormat="1" applyFont="1" applyBorder="1" applyAlignment="1">
      <alignment horizontal="centerContinuous"/>
    </xf>
    <xf numFmtId="1" fontId="0" fillId="0" borderId="1" xfId="0" applyNumberFormat="1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0" fillId="0" borderId="38" xfId="0" applyFont="1" applyBorder="1" applyAlignment="1">
      <alignment horizontal="centerContinuous"/>
    </xf>
    <xf numFmtId="0" fontId="0" fillId="0" borderId="0" xfId="0" applyFont="1" applyAlignment="1">
      <alignment/>
    </xf>
    <xf numFmtId="0" fontId="11" fillId="0" borderId="4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Fill="1" applyBorder="1" applyAlignment="1">
      <alignment horizontal="centerContinuous"/>
    </xf>
    <xf numFmtId="1" fontId="0" fillId="0" borderId="0" xfId="0" applyNumberFormat="1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Continuous"/>
    </xf>
    <xf numFmtId="1" fontId="0" fillId="0" borderId="0" xfId="0" applyNumberFormat="1" applyFont="1" applyAlignment="1">
      <alignment horizontal="centerContinuous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39" xfId="0" applyFont="1" applyBorder="1" applyAlignment="1">
      <alignment horizontal="centerContinuous"/>
    </xf>
    <xf numFmtId="1" fontId="1" fillId="0" borderId="37" xfId="0" applyNumberFormat="1" applyFont="1" applyBorder="1" applyAlignment="1">
      <alignment horizontal="centerContinuous"/>
    </xf>
    <xf numFmtId="1" fontId="0" fillId="0" borderId="38" xfId="0" applyNumberFormat="1" applyFont="1" applyBorder="1" applyAlignment="1">
      <alignment horizontal="centerContinuous"/>
    </xf>
    <xf numFmtId="1" fontId="1" fillId="0" borderId="40" xfId="0" applyNumberFormat="1" applyFont="1" applyBorder="1" applyAlignment="1">
      <alignment horizontal="centerContinuous"/>
    </xf>
    <xf numFmtId="0" fontId="0" fillId="0" borderId="41" xfId="0" applyFont="1" applyFill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1" fontId="1" fillId="0" borderId="10" xfId="0" applyNumberFormat="1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1" fontId="0" fillId="0" borderId="42" xfId="0" applyNumberFormat="1" applyFont="1" applyBorder="1" applyAlignment="1">
      <alignment horizontal="centerContinuous"/>
    </xf>
    <xf numFmtId="0" fontId="1" fillId="0" borderId="43" xfId="0" applyFont="1" applyBorder="1" applyAlignment="1">
      <alignment horizontal="centerContinuous"/>
    </xf>
    <xf numFmtId="0" fontId="0" fillId="0" borderId="44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7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Continuous"/>
    </xf>
    <xf numFmtId="0" fontId="0" fillId="0" borderId="7" xfId="0" applyFont="1" applyFill="1" applyBorder="1" applyAlignment="1">
      <alignment horizontal="left"/>
    </xf>
    <xf numFmtId="0" fontId="0" fillId="0" borderId="8" xfId="0" applyFont="1" applyBorder="1" applyAlignment="1">
      <alignment horizontal="centerContinuous"/>
    </xf>
    <xf numFmtId="0" fontId="0" fillId="0" borderId="45" xfId="0" applyFont="1" applyFill="1" applyBorder="1" applyAlignment="1">
      <alignment horizontal="centerContinuous"/>
    </xf>
    <xf numFmtId="0" fontId="0" fillId="0" borderId="46" xfId="0" applyFont="1" applyBorder="1" applyAlignment="1">
      <alignment horizontal="centerContinuous"/>
    </xf>
    <xf numFmtId="0" fontId="0" fillId="0" borderId="1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47" xfId="0" applyBorder="1" applyAlignment="1">
      <alignment horizontal="centerContinuous"/>
    </xf>
    <xf numFmtId="166" fontId="10" fillId="0" borderId="7" xfId="15" applyNumberFormat="1" applyFont="1" applyFill="1" applyBorder="1" applyAlignment="1" applyProtection="1">
      <alignment/>
      <protection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 horizontal="right"/>
    </xf>
    <xf numFmtId="166" fontId="1" fillId="0" borderId="27" xfId="0" applyNumberFormat="1" applyFont="1" applyBorder="1" applyAlignment="1">
      <alignment/>
    </xf>
    <xf numFmtId="166" fontId="1" fillId="0" borderId="31" xfId="15" applyNumberFormat="1" applyFont="1" applyFill="1" applyBorder="1" applyAlignment="1" applyProtection="1">
      <alignment/>
      <protection/>
    </xf>
    <xf numFmtId="167" fontId="1" fillId="0" borderId="17" xfId="21" applyNumberFormat="1" applyFont="1" applyFill="1" applyBorder="1" applyAlignment="1" applyProtection="1">
      <alignment/>
      <protection/>
    </xf>
    <xf numFmtId="167" fontId="1" fillId="0" borderId="50" xfId="21" applyNumberFormat="1" applyFont="1" applyBorder="1" applyAlignment="1" applyProtection="1">
      <alignment/>
      <protection/>
    </xf>
    <xf numFmtId="167" fontId="1" fillId="0" borderId="17" xfId="21" applyNumberFormat="1" applyFont="1" applyBorder="1" applyAlignment="1" applyProtection="1">
      <alignment/>
      <protection/>
    </xf>
    <xf numFmtId="167" fontId="1" fillId="0" borderId="51" xfId="21" applyNumberFormat="1" applyFont="1" applyBorder="1" applyAlignment="1" applyProtection="1">
      <alignment/>
      <protection/>
    </xf>
    <xf numFmtId="0" fontId="10" fillId="0" borderId="48" xfId="0" applyFont="1" applyBorder="1" applyAlignment="1">
      <alignment/>
    </xf>
    <xf numFmtId="0" fontId="10" fillId="0" borderId="49" xfId="0" applyFont="1" applyBorder="1" applyAlignment="1">
      <alignment horizontal="right"/>
    </xf>
    <xf numFmtId="166" fontId="10" fillId="0" borderId="27" xfId="0" applyNumberFormat="1" applyFont="1" applyBorder="1" applyAlignment="1">
      <alignment/>
    </xf>
    <xf numFmtId="166" fontId="10" fillId="0" borderId="31" xfId="15" applyNumberFormat="1" applyFont="1" applyFill="1" applyBorder="1" applyAlignment="1" applyProtection="1">
      <alignment/>
      <protection/>
    </xf>
    <xf numFmtId="167" fontId="10" fillId="0" borderId="17" xfId="21" applyNumberFormat="1" applyFont="1" applyFill="1" applyBorder="1" applyAlignment="1" applyProtection="1">
      <alignment/>
      <protection/>
    </xf>
    <xf numFmtId="166" fontId="10" fillId="0" borderId="27" xfId="15" applyNumberFormat="1" applyFont="1" applyFill="1" applyBorder="1" applyAlignment="1" applyProtection="1">
      <alignment/>
      <protection/>
    </xf>
    <xf numFmtId="167" fontId="10" fillId="0" borderId="50" xfId="21" applyNumberFormat="1" applyFont="1" applyBorder="1" applyAlignment="1" applyProtection="1">
      <alignment/>
      <protection/>
    </xf>
    <xf numFmtId="167" fontId="10" fillId="0" borderId="17" xfId="21" applyNumberFormat="1" applyFont="1" applyBorder="1" applyAlignment="1" applyProtection="1">
      <alignment/>
      <protection/>
    </xf>
    <xf numFmtId="167" fontId="10" fillId="0" borderId="51" xfId="21" applyNumberFormat="1" applyFont="1" applyBorder="1" applyAlignment="1" applyProtection="1">
      <alignment/>
      <protection/>
    </xf>
    <xf numFmtId="0" fontId="10" fillId="0" borderId="52" xfId="0" applyFont="1" applyBorder="1" applyAlignment="1">
      <alignment/>
    </xf>
    <xf numFmtId="0" fontId="10" fillId="0" borderId="7" xfId="0" applyFont="1" applyBorder="1" applyAlignment="1">
      <alignment horizontal="right"/>
    </xf>
    <xf numFmtId="0" fontId="10" fillId="0" borderId="7" xfId="0" applyFont="1" applyBorder="1" applyAlignment="1">
      <alignment horizontal="center"/>
    </xf>
    <xf numFmtId="166" fontId="10" fillId="0" borderId="7" xfId="0" applyNumberFormat="1" applyFont="1" applyBorder="1" applyAlignment="1">
      <alignment/>
    </xf>
    <xf numFmtId="167" fontId="10" fillId="0" borderId="7" xfId="21" applyNumberFormat="1" applyFont="1" applyFill="1" applyBorder="1" applyAlignment="1" applyProtection="1">
      <alignment/>
      <protection/>
    </xf>
    <xf numFmtId="167" fontId="10" fillId="0" borderId="7" xfId="21" applyNumberFormat="1" applyFont="1" applyBorder="1" applyAlignment="1" applyProtection="1">
      <alignment/>
      <protection/>
    </xf>
    <xf numFmtId="167" fontId="10" fillId="0" borderId="24" xfId="21" applyNumberFormat="1" applyFont="1" applyBorder="1" applyAlignment="1" applyProtection="1">
      <alignment/>
      <protection/>
    </xf>
    <xf numFmtId="0" fontId="10" fillId="0" borderId="53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166" fontId="10" fillId="0" borderId="1" xfId="0" applyNumberFormat="1" applyFont="1" applyBorder="1" applyAlignment="1">
      <alignment/>
    </xf>
    <xf numFmtId="166" fontId="10" fillId="0" borderId="1" xfId="15" applyNumberFormat="1" applyFont="1" applyFill="1" applyBorder="1" applyAlignment="1" applyProtection="1">
      <alignment/>
      <protection/>
    </xf>
    <xf numFmtId="167" fontId="10" fillId="0" borderId="1" xfId="21" applyNumberFormat="1" applyFont="1" applyFill="1" applyBorder="1" applyAlignment="1" applyProtection="1">
      <alignment/>
      <protection/>
    </xf>
    <xf numFmtId="167" fontId="10" fillId="0" borderId="1" xfId="21" applyNumberFormat="1" applyFont="1" applyBorder="1" applyAlignment="1" applyProtection="1">
      <alignment/>
      <protection/>
    </xf>
    <xf numFmtId="167" fontId="10" fillId="0" borderId="38" xfId="21" applyNumberFormat="1" applyFont="1" applyBorder="1" applyAlignment="1" applyProtection="1">
      <alignment/>
      <protection/>
    </xf>
    <xf numFmtId="0" fontId="1" fillId="0" borderId="38" xfId="0" applyFont="1" applyBorder="1" applyAlignment="1">
      <alignment horizontal="right"/>
    </xf>
    <xf numFmtId="164" fontId="1" fillId="0" borderId="54" xfId="0" applyNumberFormat="1" applyFont="1" applyBorder="1" applyAlignment="1">
      <alignment horizontal="center"/>
    </xf>
    <xf numFmtId="164" fontId="10" fillId="0" borderId="54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7"/>
  <sheetViews>
    <sheetView tabSelected="1" workbookViewId="0" topLeftCell="A1">
      <pane ySplit="8" topLeftCell="BM9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3.57421875" style="67" customWidth="1"/>
    <col min="2" max="2" width="13.28125" style="67" customWidth="1"/>
    <col min="3" max="3" width="9.140625" style="67" customWidth="1"/>
    <col min="4" max="4" width="11.57421875" style="67" customWidth="1"/>
    <col min="5" max="6" width="9.140625" style="67" customWidth="1"/>
    <col min="7" max="7" width="11.421875" style="92" customWidth="1"/>
    <col min="8" max="9" width="7.7109375" style="115" customWidth="1"/>
    <col min="10" max="10" width="7.7109375" style="114" customWidth="1"/>
    <col min="11" max="11" width="7.7109375" style="67" customWidth="1"/>
    <col min="12" max="12" width="7.7109375" style="114" customWidth="1"/>
    <col min="13" max="13" width="7.7109375" style="67" customWidth="1"/>
    <col min="14" max="14" width="7.7109375" style="114" customWidth="1"/>
    <col min="15" max="15" width="7.7109375" style="67" customWidth="1"/>
    <col min="16" max="18" width="7.7109375" style="114" customWidth="1"/>
    <col min="19" max="19" width="7.7109375" style="67" customWidth="1"/>
    <col min="20" max="16384" width="9.140625" style="67" customWidth="1"/>
  </cols>
  <sheetData>
    <row r="1" spans="1:19" ht="13.5" thickTop="1">
      <c r="A1" s="61" t="s">
        <v>0</v>
      </c>
      <c r="B1" s="62"/>
      <c r="C1" s="62"/>
      <c r="D1" s="63"/>
      <c r="E1" s="63"/>
      <c r="F1" s="63"/>
      <c r="G1" s="63"/>
      <c r="H1" s="64"/>
      <c r="I1" s="64"/>
      <c r="J1" s="64"/>
      <c r="K1" s="63"/>
      <c r="L1" s="64"/>
      <c r="M1" s="63"/>
      <c r="N1" s="64"/>
      <c r="O1" s="63"/>
      <c r="P1" s="64"/>
      <c r="Q1" s="64"/>
      <c r="R1" s="65"/>
      <c r="S1" s="150" t="s">
        <v>205</v>
      </c>
    </row>
    <row r="2" spans="1:19" ht="12.75">
      <c r="A2" s="68" t="s">
        <v>1</v>
      </c>
      <c r="B2" s="69"/>
      <c r="C2" s="69"/>
      <c r="D2" s="70"/>
      <c r="E2" s="70"/>
      <c r="F2" s="70"/>
      <c r="G2" s="70"/>
      <c r="H2" s="71"/>
      <c r="I2" s="71"/>
      <c r="J2" s="72"/>
      <c r="K2" s="70"/>
      <c r="L2" s="71"/>
      <c r="M2" s="70"/>
      <c r="N2" s="71"/>
      <c r="O2" s="70"/>
      <c r="P2" s="71"/>
      <c r="Q2" s="71"/>
      <c r="R2" s="73"/>
      <c r="S2" s="74"/>
    </row>
    <row r="3" spans="1:19" ht="13.5" thickBot="1">
      <c r="A3" s="75"/>
      <c r="B3" s="76"/>
      <c r="C3" s="76"/>
      <c r="D3" s="77"/>
      <c r="E3" s="77"/>
      <c r="F3" s="77"/>
      <c r="G3" s="70"/>
      <c r="H3" s="71"/>
      <c r="I3" s="72"/>
      <c r="J3" s="78"/>
      <c r="K3" s="77"/>
      <c r="L3" s="72"/>
      <c r="M3" s="77"/>
      <c r="N3" s="72"/>
      <c r="O3" s="76"/>
      <c r="P3" s="79"/>
      <c r="Q3" s="79"/>
      <c r="R3" s="79"/>
      <c r="S3" s="74"/>
    </row>
    <row r="4" spans="1:19" ht="13.5" thickTop="1">
      <c r="A4" s="80"/>
      <c r="B4" s="62"/>
      <c r="C4" s="81"/>
      <c r="D4" s="82" t="s">
        <v>194</v>
      </c>
      <c r="E4" s="62"/>
      <c r="F4" s="83"/>
      <c r="G4" s="84" t="s">
        <v>2</v>
      </c>
      <c r="H4" s="85"/>
      <c r="I4" s="26"/>
      <c r="J4" s="26"/>
      <c r="K4" s="2"/>
      <c r="L4" s="26"/>
      <c r="M4" s="2"/>
      <c r="N4" s="26"/>
      <c r="O4" s="62"/>
      <c r="P4" s="65"/>
      <c r="Q4" s="65"/>
      <c r="R4" s="65"/>
      <c r="S4" s="66"/>
    </row>
    <row r="5" spans="1:19" ht="13.5" thickBot="1">
      <c r="A5" s="80"/>
      <c r="B5" s="76"/>
      <c r="C5" s="86"/>
      <c r="D5" s="87" t="s">
        <v>193</v>
      </c>
      <c r="E5" s="88"/>
      <c r="F5" s="89"/>
      <c r="G5" s="90" t="s">
        <v>3</v>
      </c>
      <c r="H5" s="91"/>
      <c r="I5" s="27"/>
      <c r="J5" s="27"/>
      <c r="K5" s="3"/>
      <c r="L5" s="27"/>
      <c r="M5" s="3"/>
      <c r="N5" s="27"/>
      <c r="O5" s="88"/>
      <c r="P5" s="79"/>
      <c r="Q5" s="79"/>
      <c r="R5" s="79"/>
      <c r="S5" s="74"/>
    </row>
    <row r="6" spans="1:19" ht="13.5" thickTop="1">
      <c r="A6" s="68" t="s">
        <v>190</v>
      </c>
      <c r="B6" s="92"/>
      <c r="C6" s="4" t="s">
        <v>4</v>
      </c>
      <c r="D6" s="5" t="s">
        <v>5</v>
      </c>
      <c r="E6" s="6" t="s">
        <v>6</v>
      </c>
      <c r="F6" s="41"/>
      <c r="G6" s="38" t="s">
        <v>7</v>
      </c>
      <c r="H6" s="36" t="s">
        <v>192</v>
      </c>
      <c r="I6" s="93"/>
      <c r="J6" s="94"/>
      <c r="K6" s="95"/>
      <c r="L6" s="96"/>
      <c r="M6" s="95"/>
      <c r="N6" s="93"/>
      <c r="O6" s="97"/>
      <c r="P6" s="32" t="s">
        <v>204</v>
      </c>
      <c r="Q6" s="33"/>
      <c r="R6" s="98"/>
      <c r="S6" s="99"/>
    </row>
    <row r="7" spans="1:19" ht="12.75">
      <c r="A7" s="80"/>
      <c r="B7" s="92"/>
      <c r="C7" s="4" t="s">
        <v>8</v>
      </c>
      <c r="D7" s="5" t="s">
        <v>9</v>
      </c>
      <c r="E7" s="7" t="s">
        <v>10</v>
      </c>
      <c r="F7" s="42"/>
      <c r="G7" s="39" t="s">
        <v>11</v>
      </c>
      <c r="H7" s="30" t="s">
        <v>195</v>
      </c>
      <c r="I7" s="8"/>
      <c r="J7" s="30" t="s">
        <v>196</v>
      </c>
      <c r="K7" s="8"/>
      <c r="L7" s="30" t="s">
        <v>197</v>
      </c>
      <c r="M7" s="8"/>
      <c r="N7" s="30" t="s">
        <v>198</v>
      </c>
      <c r="O7" s="9"/>
      <c r="P7" s="34" t="s">
        <v>186</v>
      </c>
      <c r="Q7" s="1"/>
      <c r="R7" s="35" t="s">
        <v>187</v>
      </c>
      <c r="S7" s="116"/>
    </row>
    <row r="8" spans="1:19" ht="13.5" thickBot="1">
      <c r="A8" s="100"/>
      <c r="B8" s="101"/>
      <c r="C8" s="10" t="s">
        <v>184</v>
      </c>
      <c r="D8" s="11" t="s">
        <v>185</v>
      </c>
      <c r="E8" s="12" t="s">
        <v>12</v>
      </c>
      <c r="F8" s="43" t="s">
        <v>13</v>
      </c>
      <c r="G8" s="40" t="s">
        <v>188</v>
      </c>
      <c r="H8" s="37" t="s">
        <v>12</v>
      </c>
      <c r="I8" s="23" t="s">
        <v>13</v>
      </c>
      <c r="J8" s="12" t="s">
        <v>12</v>
      </c>
      <c r="K8" s="12" t="s">
        <v>13</v>
      </c>
      <c r="L8" s="12" t="s">
        <v>12</v>
      </c>
      <c r="M8" s="12" t="s">
        <v>13</v>
      </c>
      <c r="N8" s="12" t="s">
        <v>12</v>
      </c>
      <c r="O8" s="13" t="s">
        <v>13</v>
      </c>
      <c r="P8" s="12" t="s">
        <v>12</v>
      </c>
      <c r="Q8" s="14" t="s">
        <v>13</v>
      </c>
      <c r="R8" s="12" t="s">
        <v>12</v>
      </c>
      <c r="S8" s="22" t="s">
        <v>13</v>
      </c>
    </row>
    <row r="9" spans="1:19" ht="13.5" customHeight="1" thickTop="1">
      <c r="A9" s="142" t="s">
        <v>14</v>
      </c>
      <c r="B9" s="143"/>
      <c r="C9" s="144"/>
      <c r="D9" s="145"/>
      <c r="E9" s="146"/>
      <c r="F9" s="147"/>
      <c r="G9" s="146"/>
      <c r="H9" s="146"/>
      <c r="I9" s="147"/>
      <c r="J9" s="146"/>
      <c r="K9" s="147"/>
      <c r="L9" s="146"/>
      <c r="M9" s="147"/>
      <c r="N9" s="146"/>
      <c r="O9" s="148"/>
      <c r="P9" s="146"/>
      <c r="Q9" s="148"/>
      <c r="R9" s="146"/>
      <c r="S9" s="149"/>
    </row>
    <row r="10" spans="1:19" ht="13.5" customHeight="1">
      <c r="A10" s="118"/>
      <c r="B10" s="119" t="s">
        <v>199</v>
      </c>
      <c r="C10" s="151">
        <v>48.19264416746334</v>
      </c>
      <c r="D10" s="120">
        <v>88094</v>
      </c>
      <c r="E10" s="121">
        <f>21825+15084</f>
        <v>36909</v>
      </c>
      <c r="F10" s="122">
        <f>(E10/$D10)*100</f>
        <v>41.89729152950258</v>
      </c>
      <c r="G10" s="47">
        <f>21634+15329</f>
        <v>36963</v>
      </c>
      <c r="H10" s="121">
        <f>288+391</f>
        <v>679</v>
      </c>
      <c r="I10" s="122">
        <f>IF($G10=0,0,(H10/$G10)*100)</f>
        <v>1.8369721072423775</v>
      </c>
      <c r="J10" s="121">
        <f>116+128</f>
        <v>244</v>
      </c>
      <c r="K10" s="122">
        <f>IF($G10=0,0,(J10/$G10)*100)</f>
        <v>0.6601195790384979</v>
      </c>
      <c r="L10" s="121">
        <f>45+38+50+41</f>
        <v>174</v>
      </c>
      <c r="M10" s="122">
        <f aca="true" t="shared" si="0" ref="M10:M44">IF($G10=0,0,(L10/$G10)*100)</f>
        <v>0.4707410112815519</v>
      </c>
      <c r="N10" s="121">
        <v>10</v>
      </c>
      <c r="O10" s="123">
        <f aca="true" t="shared" si="1" ref="O10:O44">IF($G10=0,0,(N10/$G10)*100)</f>
        <v>0.02705408110813516</v>
      </c>
      <c r="P10" s="121">
        <f>H10+J10+L10+N10</f>
        <v>1107</v>
      </c>
      <c r="Q10" s="124">
        <f aca="true" t="shared" si="2" ref="Q10:Q44">IF($G10=0,0,(P10/$G10)*100)</f>
        <v>2.9948867786705624</v>
      </c>
      <c r="R10" s="121">
        <f>L10+N10</f>
        <v>184</v>
      </c>
      <c r="S10" s="125">
        <f aca="true" t="shared" si="3" ref="S10:S44">IF($G10=0,0,(R10/$G10)*100)</f>
        <v>0.49779509238968694</v>
      </c>
    </row>
    <row r="11" spans="1:19" ht="13.5" customHeight="1">
      <c r="A11" s="118"/>
      <c r="B11" s="119" t="s">
        <v>200</v>
      </c>
      <c r="C11" s="151">
        <v>48.19264416746334</v>
      </c>
      <c r="D11" s="120">
        <v>88094</v>
      </c>
      <c r="E11" s="121">
        <f>23180+17328-224-143</f>
        <v>40141</v>
      </c>
      <c r="F11" s="122">
        <f>(E11/$D11)*100</f>
        <v>45.56609984788975</v>
      </c>
      <c r="G11" s="47">
        <f>22920+17653</f>
        <v>40573</v>
      </c>
      <c r="H11" s="121">
        <f>292+314</f>
        <v>606</v>
      </c>
      <c r="I11" s="122">
        <f>IF($G11=0,0,(H11/$G11)*100)</f>
        <v>1.4936041209671456</v>
      </c>
      <c r="J11" s="121">
        <f>104+117</f>
        <v>221</v>
      </c>
      <c r="K11" s="122">
        <f>IF($G11=0,0,(J11/$G11)*100)</f>
        <v>0.5446972124319128</v>
      </c>
      <c r="L11" s="121">
        <f>65+36+45+30</f>
        <v>176</v>
      </c>
      <c r="M11" s="122">
        <f t="shared" si="0"/>
        <v>0.4337860153303921</v>
      </c>
      <c r="N11" s="121">
        <v>8</v>
      </c>
      <c r="O11" s="123">
        <f t="shared" si="1"/>
        <v>0.019717546151381462</v>
      </c>
      <c r="P11" s="121">
        <f>H11+J11+L11+N11</f>
        <v>1011</v>
      </c>
      <c r="Q11" s="124">
        <f t="shared" si="2"/>
        <v>2.4918048948808322</v>
      </c>
      <c r="R11" s="121">
        <f>L11+N11</f>
        <v>184</v>
      </c>
      <c r="S11" s="125">
        <f t="shared" si="3"/>
        <v>0.45350356148177356</v>
      </c>
    </row>
    <row r="12" spans="1:19" ht="13.5" customHeight="1">
      <c r="A12" s="126"/>
      <c r="B12" s="127" t="s">
        <v>201</v>
      </c>
      <c r="C12" s="152">
        <v>48.19264416746334</v>
      </c>
      <c r="D12" s="128">
        <v>88094</v>
      </c>
      <c r="E12" s="129">
        <f>22091+16655</f>
        <v>38746</v>
      </c>
      <c r="F12" s="130">
        <f>(E12/$D12)*100</f>
        <v>43.98256407927895</v>
      </c>
      <c r="G12" s="131">
        <f>21811+16986</f>
        <v>38797</v>
      </c>
      <c r="H12" s="129">
        <f>259+280</f>
        <v>539</v>
      </c>
      <c r="I12" s="130">
        <f>IF($G12=0,0,(H12/$G12)*100)</f>
        <v>1.3892826764956054</v>
      </c>
      <c r="J12" s="129">
        <f>74+86</f>
        <v>160</v>
      </c>
      <c r="K12" s="130">
        <f>IF($G12=0,0,(J12/$G12)*100)</f>
        <v>0.41240302085212777</v>
      </c>
      <c r="L12" s="129">
        <f>81+82</f>
        <v>163</v>
      </c>
      <c r="M12" s="130">
        <f t="shared" si="0"/>
        <v>0.4201355774931051</v>
      </c>
      <c r="N12" s="129">
        <f>4+3</f>
        <v>7</v>
      </c>
      <c r="O12" s="132">
        <f t="shared" si="1"/>
        <v>0.018042632162280588</v>
      </c>
      <c r="P12" s="129">
        <f>H12+J12+L12+N12</f>
        <v>869</v>
      </c>
      <c r="Q12" s="133">
        <f t="shared" si="2"/>
        <v>2.2398639070031185</v>
      </c>
      <c r="R12" s="129">
        <f>L12+N12</f>
        <v>170</v>
      </c>
      <c r="S12" s="134">
        <f t="shared" si="3"/>
        <v>0.4381782096553858</v>
      </c>
    </row>
    <row r="13" spans="1:19" ht="13.5" customHeight="1">
      <c r="A13" s="135" t="s">
        <v>202</v>
      </c>
      <c r="B13" s="136"/>
      <c r="C13" s="137"/>
      <c r="D13" s="138"/>
      <c r="E13" s="117"/>
      <c r="F13" s="139"/>
      <c r="G13" s="117"/>
      <c r="H13" s="117"/>
      <c r="I13" s="139"/>
      <c r="J13" s="117"/>
      <c r="K13" s="139"/>
      <c r="L13" s="117"/>
      <c r="M13" s="139"/>
      <c r="N13" s="117"/>
      <c r="O13" s="140"/>
      <c r="P13" s="117"/>
      <c r="Q13" s="140"/>
      <c r="R13" s="117"/>
      <c r="S13" s="141"/>
    </row>
    <row r="14" spans="1:19" ht="13.5" customHeight="1">
      <c r="A14" s="102">
        <v>1</v>
      </c>
      <c r="B14" s="103" t="s">
        <v>15</v>
      </c>
      <c r="C14" s="151">
        <v>41.90317195325542</v>
      </c>
      <c r="D14" s="44">
        <v>92</v>
      </c>
      <c r="E14" s="45">
        <f>4+2</f>
        <v>6</v>
      </c>
      <c r="F14" s="46">
        <f aca="true" t="shared" si="4" ref="F14:F77">(E14/$D14)*100</f>
        <v>6.521739130434782</v>
      </c>
      <c r="G14" s="47">
        <f>4+2</f>
        <v>6</v>
      </c>
      <c r="H14" s="48">
        <v>0</v>
      </c>
      <c r="I14" s="46">
        <f aca="true" t="shared" si="5" ref="I14:K77">IF($G14=0,0,(H14/$G14)*100)</f>
        <v>0</v>
      </c>
      <c r="J14" s="48">
        <v>0</v>
      </c>
      <c r="K14" s="46">
        <f t="shared" si="5"/>
        <v>0</v>
      </c>
      <c r="L14" s="48">
        <v>0</v>
      </c>
      <c r="M14" s="46">
        <f t="shared" si="0"/>
        <v>0</v>
      </c>
      <c r="N14" s="48">
        <v>0</v>
      </c>
      <c r="O14" s="49">
        <f t="shared" si="1"/>
        <v>0</v>
      </c>
      <c r="P14" s="48">
        <f aca="true" t="shared" si="6" ref="P14:P77">H14+J14+L14+N14</f>
        <v>0</v>
      </c>
      <c r="Q14" s="50">
        <f t="shared" si="2"/>
        <v>0</v>
      </c>
      <c r="R14" s="48">
        <f aca="true" t="shared" si="7" ref="R14:R77">L14+N14</f>
        <v>0</v>
      </c>
      <c r="S14" s="51">
        <f t="shared" si="3"/>
        <v>0</v>
      </c>
    </row>
    <row r="15" spans="1:19" ht="13.5" customHeight="1">
      <c r="A15" s="102">
        <v>2</v>
      </c>
      <c r="B15" s="103" t="s">
        <v>16</v>
      </c>
      <c r="C15" s="151">
        <v>65.88131535844778</v>
      </c>
      <c r="D15" s="44">
        <v>507</v>
      </c>
      <c r="E15" s="45">
        <f>120+135</f>
        <v>255</v>
      </c>
      <c r="F15" s="46">
        <f t="shared" si="4"/>
        <v>50.29585798816568</v>
      </c>
      <c r="G15" s="44">
        <f>118+138</f>
        <v>256</v>
      </c>
      <c r="H15" s="48">
        <f>6+9</f>
        <v>15</v>
      </c>
      <c r="I15" s="46">
        <f t="shared" si="5"/>
        <v>5.859375</v>
      </c>
      <c r="J15" s="48">
        <f>1+2</f>
        <v>3</v>
      </c>
      <c r="K15" s="46">
        <f t="shared" si="5"/>
        <v>1.171875</v>
      </c>
      <c r="L15" s="48">
        <v>2</v>
      </c>
      <c r="M15" s="46">
        <f t="shared" si="0"/>
        <v>0.78125</v>
      </c>
      <c r="N15" s="48">
        <v>0</v>
      </c>
      <c r="O15" s="49">
        <f t="shared" si="1"/>
        <v>0</v>
      </c>
      <c r="P15" s="48">
        <f t="shared" si="6"/>
        <v>20</v>
      </c>
      <c r="Q15" s="50">
        <f t="shared" si="2"/>
        <v>7.8125</v>
      </c>
      <c r="R15" s="48">
        <f t="shared" si="7"/>
        <v>2</v>
      </c>
      <c r="S15" s="51">
        <f t="shared" si="3"/>
        <v>0.78125</v>
      </c>
    </row>
    <row r="16" spans="1:19" ht="13.5" customHeight="1">
      <c r="A16" s="102">
        <v>3</v>
      </c>
      <c r="B16" s="103" t="s">
        <v>17</v>
      </c>
      <c r="C16" s="151">
        <v>31.371394938198943</v>
      </c>
      <c r="D16" s="44">
        <v>102</v>
      </c>
      <c r="E16" s="45">
        <f>10+5</f>
        <v>15</v>
      </c>
      <c r="F16" s="46">
        <f t="shared" si="4"/>
        <v>14.705882352941178</v>
      </c>
      <c r="G16" s="47">
        <f>9+5</f>
        <v>14</v>
      </c>
      <c r="H16" s="48">
        <v>0</v>
      </c>
      <c r="I16" s="46">
        <f t="shared" si="5"/>
        <v>0</v>
      </c>
      <c r="J16" s="48">
        <v>0</v>
      </c>
      <c r="K16" s="46">
        <f t="shared" si="5"/>
        <v>0</v>
      </c>
      <c r="L16" s="48">
        <v>0</v>
      </c>
      <c r="M16" s="46">
        <f t="shared" si="0"/>
        <v>0</v>
      </c>
      <c r="N16" s="48">
        <v>0</v>
      </c>
      <c r="O16" s="49">
        <f t="shared" si="1"/>
        <v>0</v>
      </c>
      <c r="P16" s="48">
        <f t="shared" si="6"/>
        <v>0</v>
      </c>
      <c r="Q16" s="50">
        <f t="shared" si="2"/>
        <v>0</v>
      </c>
      <c r="R16" s="48">
        <f t="shared" si="7"/>
        <v>0</v>
      </c>
      <c r="S16" s="51">
        <f t="shared" si="3"/>
        <v>0</v>
      </c>
    </row>
    <row r="17" spans="1:19" ht="13.5" customHeight="1">
      <c r="A17" s="102">
        <v>4</v>
      </c>
      <c r="B17" s="103" t="s">
        <v>18</v>
      </c>
      <c r="C17" s="151">
        <v>17.65432098765432</v>
      </c>
      <c r="D17" s="44">
        <v>405</v>
      </c>
      <c r="E17" s="45">
        <f>53+47</f>
        <v>100</v>
      </c>
      <c r="F17" s="46">
        <f t="shared" si="4"/>
        <v>24.691358024691358</v>
      </c>
      <c r="G17" s="47">
        <f>54+47</f>
        <v>101</v>
      </c>
      <c r="H17" s="48">
        <v>1</v>
      </c>
      <c r="I17" s="46">
        <f t="shared" si="5"/>
        <v>0.9900990099009901</v>
      </c>
      <c r="J17" s="48">
        <v>0</v>
      </c>
      <c r="K17" s="46">
        <f t="shared" si="5"/>
        <v>0</v>
      </c>
      <c r="L17" s="48">
        <v>0</v>
      </c>
      <c r="M17" s="46">
        <f t="shared" si="0"/>
        <v>0</v>
      </c>
      <c r="N17" s="48">
        <v>0</v>
      </c>
      <c r="O17" s="49">
        <f t="shared" si="1"/>
        <v>0</v>
      </c>
      <c r="P17" s="48">
        <f t="shared" si="6"/>
        <v>1</v>
      </c>
      <c r="Q17" s="50">
        <f t="shared" si="2"/>
        <v>0.9900990099009901</v>
      </c>
      <c r="R17" s="48">
        <f t="shared" si="7"/>
        <v>0</v>
      </c>
      <c r="S17" s="51">
        <f t="shared" si="3"/>
        <v>0</v>
      </c>
    </row>
    <row r="18" spans="1:19" ht="13.5" customHeight="1">
      <c r="A18" s="102">
        <v>5</v>
      </c>
      <c r="B18" s="103" t="s">
        <v>19</v>
      </c>
      <c r="C18" s="151">
        <v>33.635097493036206</v>
      </c>
      <c r="D18" s="44">
        <v>76</v>
      </c>
      <c r="E18" s="45">
        <f>9+6</f>
        <v>15</v>
      </c>
      <c r="F18" s="46">
        <f t="shared" si="4"/>
        <v>19.736842105263158</v>
      </c>
      <c r="G18" s="47">
        <f>9+6</f>
        <v>15</v>
      </c>
      <c r="H18" s="48">
        <v>0</v>
      </c>
      <c r="I18" s="46">
        <f t="shared" si="5"/>
        <v>0</v>
      </c>
      <c r="J18" s="48">
        <v>0</v>
      </c>
      <c r="K18" s="46">
        <f t="shared" si="5"/>
        <v>0</v>
      </c>
      <c r="L18" s="48">
        <v>0</v>
      </c>
      <c r="M18" s="46">
        <f t="shared" si="0"/>
        <v>0</v>
      </c>
      <c r="N18" s="48">
        <v>0</v>
      </c>
      <c r="O18" s="49">
        <f t="shared" si="1"/>
        <v>0</v>
      </c>
      <c r="P18" s="48">
        <f t="shared" si="6"/>
        <v>0</v>
      </c>
      <c r="Q18" s="50">
        <f t="shared" si="2"/>
        <v>0</v>
      </c>
      <c r="R18" s="48">
        <f t="shared" si="7"/>
        <v>0</v>
      </c>
      <c r="S18" s="51">
        <f t="shared" si="3"/>
        <v>0</v>
      </c>
    </row>
    <row r="19" spans="1:19" ht="13.5" customHeight="1">
      <c r="A19" s="102">
        <v>6</v>
      </c>
      <c r="B19" s="103" t="s">
        <v>20</v>
      </c>
      <c r="C19" s="151">
        <v>40.77946768060837</v>
      </c>
      <c r="D19" s="44">
        <v>132</v>
      </c>
      <c r="E19" s="52">
        <f>37+31</f>
        <v>68</v>
      </c>
      <c r="F19" s="46">
        <f t="shared" si="4"/>
        <v>51.515151515151516</v>
      </c>
      <c r="G19" s="47">
        <f>36+30</f>
        <v>66</v>
      </c>
      <c r="H19" s="48">
        <v>0</v>
      </c>
      <c r="I19" s="46">
        <f t="shared" si="5"/>
        <v>0</v>
      </c>
      <c r="J19" s="48">
        <v>0</v>
      </c>
      <c r="K19" s="46">
        <f t="shared" si="5"/>
        <v>0</v>
      </c>
      <c r="L19" s="48">
        <v>0</v>
      </c>
      <c r="M19" s="46">
        <f t="shared" si="0"/>
        <v>0</v>
      </c>
      <c r="N19" s="48">
        <v>0</v>
      </c>
      <c r="O19" s="49">
        <f t="shared" si="1"/>
        <v>0</v>
      </c>
      <c r="P19" s="48">
        <f t="shared" si="6"/>
        <v>0</v>
      </c>
      <c r="Q19" s="50">
        <f t="shared" si="2"/>
        <v>0</v>
      </c>
      <c r="R19" s="48">
        <f t="shared" si="7"/>
        <v>0</v>
      </c>
      <c r="S19" s="51">
        <f t="shared" si="3"/>
        <v>0</v>
      </c>
    </row>
    <row r="20" spans="1:19" ht="13.5" customHeight="1">
      <c r="A20" s="102">
        <v>7</v>
      </c>
      <c r="B20" s="103" t="s">
        <v>21</v>
      </c>
      <c r="C20" s="151">
        <v>42.77498202731847</v>
      </c>
      <c r="D20" s="44">
        <v>407</v>
      </c>
      <c r="E20" s="45">
        <f>65+37</f>
        <v>102</v>
      </c>
      <c r="F20" s="46">
        <f t="shared" si="4"/>
        <v>25.061425061425062</v>
      </c>
      <c r="G20" s="47">
        <f>64+40</f>
        <v>104</v>
      </c>
      <c r="H20" s="48">
        <v>0</v>
      </c>
      <c r="I20" s="46">
        <f t="shared" si="5"/>
        <v>0</v>
      </c>
      <c r="J20" s="48">
        <v>0</v>
      </c>
      <c r="K20" s="46">
        <f t="shared" si="5"/>
        <v>0</v>
      </c>
      <c r="L20" s="48">
        <v>1</v>
      </c>
      <c r="M20" s="46">
        <f t="shared" si="0"/>
        <v>0.9615384615384616</v>
      </c>
      <c r="N20" s="48">
        <v>0</v>
      </c>
      <c r="O20" s="49">
        <f t="shared" si="1"/>
        <v>0</v>
      </c>
      <c r="P20" s="48">
        <f t="shared" si="6"/>
        <v>1</v>
      </c>
      <c r="Q20" s="50">
        <f t="shared" si="2"/>
        <v>0.9615384615384616</v>
      </c>
      <c r="R20" s="48">
        <f t="shared" si="7"/>
        <v>1</v>
      </c>
      <c r="S20" s="51">
        <f t="shared" si="3"/>
        <v>0.9615384615384616</v>
      </c>
    </row>
    <row r="21" spans="1:19" ht="13.5" customHeight="1">
      <c r="A21" s="102">
        <v>8</v>
      </c>
      <c r="B21" s="103" t="s">
        <v>22</v>
      </c>
      <c r="C21" s="151">
        <v>32.589285714285715</v>
      </c>
      <c r="D21" s="44">
        <v>117</v>
      </c>
      <c r="E21" s="45">
        <f>28+14</f>
        <v>42</v>
      </c>
      <c r="F21" s="46">
        <f t="shared" si="4"/>
        <v>35.8974358974359</v>
      </c>
      <c r="G21" s="47">
        <f>28+14</f>
        <v>42</v>
      </c>
      <c r="H21" s="48">
        <v>0</v>
      </c>
      <c r="I21" s="46">
        <f t="shared" si="5"/>
        <v>0</v>
      </c>
      <c r="J21" s="48">
        <v>0</v>
      </c>
      <c r="K21" s="46">
        <f t="shared" si="5"/>
        <v>0</v>
      </c>
      <c r="L21" s="48">
        <v>0</v>
      </c>
      <c r="M21" s="46">
        <f t="shared" si="0"/>
        <v>0</v>
      </c>
      <c r="N21" s="48">
        <v>0</v>
      </c>
      <c r="O21" s="49">
        <f t="shared" si="1"/>
        <v>0</v>
      </c>
      <c r="P21" s="48">
        <f t="shared" si="6"/>
        <v>0</v>
      </c>
      <c r="Q21" s="50">
        <f t="shared" si="2"/>
        <v>0</v>
      </c>
      <c r="R21" s="48">
        <f t="shared" si="7"/>
        <v>0</v>
      </c>
      <c r="S21" s="51">
        <f t="shared" si="3"/>
        <v>0</v>
      </c>
    </row>
    <row r="22" spans="1:19" ht="13.5" customHeight="1">
      <c r="A22" s="102">
        <v>9</v>
      </c>
      <c r="B22" s="103" t="s">
        <v>23</v>
      </c>
      <c r="C22" s="151">
        <v>36.0739516007816</v>
      </c>
      <c r="D22" s="44">
        <v>471</v>
      </c>
      <c r="E22" s="45">
        <f>110+81</f>
        <v>191</v>
      </c>
      <c r="F22" s="46">
        <f t="shared" si="4"/>
        <v>40.552016985138</v>
      </c>
      <c r="G22" s="47">
        <f>109+82</f>
        <v>191</v>
      </c>
      <c r="H22" s="48">
        <v>0</v>
      </c>
      <c r="I22" s="46">
        <f t="shared" si="5"/>
        <v>0</v>
      </c>
      <c r="J22" s="48">
        <v>0</v>
      </c>
      <c r="K22" s="46">
        <f t="shared" si="5"/>
        <v>0</v>
      </c>
      <c r="L22" s="48">
        <v>1</v>
      </c>
      <c r="M22" s="46">
        <f t="shared" si="0"/>
        <v>0.5235602094240838</v>
      </c>
      <c r="N22" s="48">
        <v>0</v>
      </c>
      <c r="O22" s="49">
        <f t="shared" si="1"/>
        <v>0</v>
      </c>
      <c r="P22" s="48">
        <f t="shared" si="6"/>
        <v>1</v>
      </c>
      <c r="Q22" s="50">
        <f t="shared" si="2"/>
        <v>0.5235602094240838</v>
      </c>
      <c r="R22" s="48">
        <f t="shared" si="7"/>
        <v>1</v>
      </c>
      <c r="S22" s="51">
        <f t="shared" si="3"/>
        <v>0.5235602094240838</v>
      </c>
    </row>
    <row r="23" spans="1:19" ht="13.5" customHeight="1">
      <c r="A23" s="102">
        <v>10</v>
      </c>
      <c r="B23" s="103" t="s">
        <v>24</v>
      </c>
      <c r="C23" s="151">
        <v>43.443804034582136</v>
      </c>
      <c r="D23" s="44">
        <v>60</v>
      </c>
      <c r="E23" s="45">
        <f>14+7</f>
        <v>21</v>
      </c>
      <c r="F23" s="46">
        <f t="shared" si="4"/>
        <v>35</v>
      </c>
      <c r="G23" s="47">
        <f>14+7</f>
        <v>21</v>
      </c>
      <c r="H23" s="48">
        <v>1</v>
      </c>
      <c r="I23" s="46">
        <f t="shared" si="5"/>
        <v>4.761904761904762</v>
      </c>
      <c r="J23" s="48">
        <v>0</v>
      </c>
      <c r="K23" s="46">
        <f t="shared" si="5"/>
        <v>0</v>
      </c>
      <c r="L23" s="48">
        <v>0</v>
      </c>
      <c r="M23" s="46">
        <f t="shared" si="0"/>
        <v>0</v>
      </c>
      <c r="N23" s="48">
        <v>0</v>
      </c>
      <c r="O23" s="49">
        <f t="shared" si="1"/>
        <v>0</v>
      </c>
      <c r="P23" s="48">
        <f t="shared" si="6"/>
        <v>1</v>
      </c>
      <c r="Q23" s="50">
        <f t="shared" si="2"/>
        <v>4.761904761904762</v>
      </c>
      <c r="R23" s="48">
        <f t="shared" si="7"/>
        <v>0</v>
      </c>
      <c r="S23" s="51">
        <f t="shared" si="3"/>
        <v>0</v>
      </c>
    </row>
    <row r="24" spans="1:19" ht="13.5" customHeight="1">
      <c r="A24" s="102">
        <v>11</v>
      </c>
      <c r="B24" s="103" t="s">
        <v>25</v>
      </c>
      <c r="C24" s="151">
        <v>38.20622330689445</v>
      </c>
      <c r="D24" s="44">
        <v>405</v>
      </c>
      <c r="E24" s="45">
        <f>87+60</f>
        <v>147</v>
      </c>
      <c r="F24" s="46">
        <f t="shared" si="4"/>
        <v>36.2962962962963</v>
      </c>
      <c r="G24" s="47">
        <f>85+59</f>
        <v>144</v>
      </c>
      <c r="H24" s="48">
        <v>0</v>
      </c>
      <c r="I24" s="46">
        <f t="shared" si="5"/>
        <v>0</v>
      </c>
      <c r="J24" s="48">
        <v>0</v>
      </c>
      <c r="K24" s="46">
        <f t="shared" si="5"/>
        <v>0</v>
      </c>
      <c r="L24" s="48">
        <v>0</v>
      </c>
      <c r="M24" s="46">
        <f t="shared" si="0"/>
        <v>0</v>
      </c>
      <c r="N24" s="48">
        <v>0</v>
      </c>
      <c r="O24" s="49">
        <f t="shared" si="1"/>
        <v>0</v>
      </c>
      <c r="P24" s="48">
        <f t="shared" si="6"/>
        <v>0</v>
      </c>
      <c r="Q24" s="50">
        <f t="shared" si="2"/>
        <v>0</v>
      </c>
      <c r="R24" s="48">
        <f t="shared" si="7"/>
        <v>0</v>
      </c>
      <c r="S24" s="51">
        <f t="shared" si="3"/>
        <v>0</v>
      </c>
    </row>
    <row r="25" spans="1:19" ht="13.5" customHeight="1">
      <c r="A25" s="102">
        <v>12</v>
      </c>
      <c r="B25" s="103" t="s">
        <v>26</v>
      </c>
      <c r="C25" s="151">
        <v>42.45810055865922</v>
      </c>
      <c r="D25" s="44">
        <v>113</v>
      </c>
      <c r="E25" s="45">
        <f>6+4</f>
        <v>10</v>
      </c>
      <c r="F25" s="46">
        <f t="shared" si="4"/>
        <v>8.849557522123893</v>
      </c>
      <c r="G25" s="47">
        <f>6+4</f>
        <v>10</v>
      </c>
      <c r="H25" s="48">
        <v>0</v>
      </c>
      <c r="I25" s="46">
        <f t="shared" si="5"/>
        <v>0</v>
      </c>
      <c r="J25" s="48">
        <v>0</v>
      </c>
      <c r="K25" s="46">
        <f t="shared" si="5"/>
        <v>0</v>
      </c>
      <c r="L25" s="48">
        <v>0</v>
      </c>
      <c r="M25" s="46">
        <f t="shared" si="0"/>
        <v>0</v>
      </c>
      <c r="N25" s="48">
        <v>0</v>
      </c>
      <c r="O25" s="49">
        <f t="shared" si="1"/>
        <v>0</v>
      </c>
      <c r="P25" s="48">
        <f t="shared" si="6"/>
        <v>0</v>
      </c>
      <c r="Q25" s="50">
        <f t="shared" si="2"/>
        <v>0</v>
      </c>
      <c r="R25" s="48">
        <f t="shared" si="7"/>
        <v>0</v>
      </c>
      <c r="S25" s="51">
        <f t="shared" si="3"/>
        <v>0</v>
      </c>
    </row>
    <row r="26" spans="1:19" ht="13.5" customHeight="1">
      <c r="A26" s="102">
        <v>13</v>
      </c>
      <c r="B26" s="103" t="s">
        <v>27</v>
      </c>
      <c r="C26" s="151">
        <v>40.13086150490731</v>
      </c>
      <c r="D26" s="44">
        <v>49</v>
      </c>
      <c r="E26" s="45">
        <f>19+13</f>
        <v>32</v>
      </c>
      <c r="F26" s="46">
        <f t="shared" si="4"/>
        <v>65.3061224489796</v>
      </c>
      <c r="G26" s="47">
        <f>19+14</f>
        <v>33</v>
      </c>
      <c r="H26" s="48">
        <f>1+1</f>
        <v>2</v>
      </c>
      <c r="I26" s="46">
        <f t="shared" si="5"/>
        <v>6.0606060606060606</v>
      </c>
      <c r="J26" s="48">
        <v>0</v>
      </c>
      <c r="K26" s="46">
        <f t="shared" si="5"/>
        <v>0</v>
      </c>
      <c r="L26" s="48">
        <v>0</v>
      </c>
      <c r="M26" s="46">
        <f t="shared" si="0"/>
        <v>0</v>
      </c>
      <c r="N26" s="48">
        <v>0</v>
      </c>
      <c r="O26" s="49">
        <f t="shared" si="1"/>
        <v>0</v>
      </c>
      <c r="P26" s="48">
        <f t="shared" si="6"/>
        <v>2</v>
      </c>
      <c r="Q26" s="50">
        <f t="shared" si="2"/>
        <v>6.0606060606060606</v>
      </c>
      <c r="R26" s="48">
        <f t="shared" si="7"/>
        <v>0</v>
      </c>
      <c r="S26" s="51">
        <f t="shared" si="3"/>
        <v>0</v>
      </c>
    </row>
    <row r="27" spans="1:19" ht="13.5" customHeight="1">
      <c r="A27" s="102">
        <v>14</v>
      </c>
      <c r="B27" s="103" t="s">
        <v>28</v>
      </c>
      <c r="C27" s="151">
        <v>40.22635287063409</v>
      </c>
      <c r="D27" s="44">
        <v>592</v>
      </c>
      <c r="E27" s="45">
        <f>113+57</f>
        <v>170</v>
      </c>
      <c r="F27" s="46">
        <f t="shared" si="4"/>
        <v>28.716216216216218</v>
      </c>
      <c r="G27" s="47">
        <f>110+59</f>
        <v>169</v>
      </c>
      <c r="H27" s="48">
        <v>0</v>
      </c>
      <c r="I27" s="46">
        <f t="shared" si="5"/>
        <v>0</v>
      </c>
      <c r="J27" s="48">
        <v>0</v>
      </c>
      <c r="K27" s="46">
        <f t="shared" si="5"/>
        <v>0</v>
      </c>
      <c r="L27" s="48">
        <v>0</v>
      </c>
      <c r="M27" s="46">
        <f t="shared" si="0"/>
        <v>0</v>
      </c>
      <c r="N27" s="48">
        <v>0</v>
      </c>
      <c r="O27" s="49">
        <f t="shared" si="1"/>
        <v>0</v>
      </c>
      <c r="P27" s="48">
        <f t="shared" si="6"/>
        <v>0</v>
      </c>
      <c r="Q27" s="50">
        <f t="shared" si="2"/>
        <v>0</v>
      </c>
      <c r="R27" s="48">
        <f t="shared" si="7"/>
        <v>0</v>
      </c>
      <c r="S27" s="51">
        <f t="shared" si="3"/>
        <v>0</v>
      </c>
    </row>
    <row r="28" spans="1:19" ht="13.5" customHeight="1">
      <c r="A28" s="102">
        <v>15</v>
      </c>
      <c r="B28" s="103" t="s">
        <v>29</v>
      </c>
      <c r="C28" s="151">
        <v>66.24974708922691</v>
      </c>
      <c r="D28" s="44">
        <v>4464</v>
      </c>
      <c r="E28" s="45">
        <f>1847+1303</f>
        <v>3150</v>
      </c>
      <c r="F28" s="46">
        <f t="shared" si="4"/>
        <v>70.56451612903226</v>
      </c>
      <c r="G28" s="47">
        <f>1801+1360</f>
        <v>3161</v>
      </c>
      <c r="H28" s="48">
        <f>47+50</f>
        <v>97</v>
      </c>
      <c r="I28" s="46">
        <f t="shared" si="5"/>
        <v>3.0686491616577034</v>
      </c>
      <c r="J28" s="48">
        <f>14+18</f>
        <v>32</v>
      </c>
      <c r="K28" s="46">
        <f t="shared" si="5"/>
        <v>1.012337867763366</v>
      </c>
      <c r="L28" s="48">
        <f>14+15</f>
        <v>29</v>
      </c>
      <c r="M28" s="46">
        <f t="shared" si="0"/>
        <v>0.9174311926605505</v>
      </c>
      <c r="N28" s="48">
        <v>2</v>
      </c>
      <c r="O28" s="49">
        <f t="shared" si="1"/>
        <v>0.06327111673521038</v>
      </c>
      <c r="P28" s="48">
        <f t="shared" si="6"/>
        <v>160</v>
      </c>
      <c r="Q28" s="50">
        <f t="shared" si="2"/>
        <v>5.06168933881683</v>
      </c>
      <c r="R28" s="48">
        <f t="shared" si="7"/>
        <v>31</v>
      </c>
      <c r="S28" s="51">
        <f t="shared" si="3"/>
        <v>0.9807023093957609</v>
      </c>
    </row>
    <row r="29" spans="1:19" ht="13.5" customHeight="1">
      <c r="A29" s="102">
        <v>16</v>
      </c>
      <c r="B29" s="103" t="s">
        <v>30</v>
      </c>
      <c r="C29" s="151">
        <v>43.90243902439025</v>
      </c>
      <c r="D29" s="44">
        <v>30</v>
      </c>
      <c r="E29" s="45">
        <f>2+2</f>
        <v>4</v>
      </c>
      <c r="F29" s="46">
        <f t="shared" si="4"/>
        <v>13.333333333333334</v>
      </c>
      <c r="G29" s="47">
        <f>2+1</f>
        <v>3</v>
      </c>
      <c r="H29" s="48">
        <v>0</v>
      </c>
      <c r="I29" s="46">
        <f t="shared" si="5"/>
        <v>0</v>
      </c>
      <c r="J29" s="48">
        <v>0</v>
      </c>
      <c r="K29" s="46">
        <f t="shared" si="5"/>
        <v>0</v>
      </c>
      <c r="L29" s="48">
        <v>0</v>
      </c>
      <c r="M29" s="46">
        <f t="shared" si="0"/>
        <v>0</v>
      </c>
      <c r="N29" s="48">
        <v>0</v>
      </c>
      <c r="O29" s="49">
        <f t="shared" si="1"/>
        <v>0</v>
      </c>
      <c r="P29" s="48">
        <f t="shared" si="6"/>
        <v>0</v>
      </c>
      <c r="Q29" s="50">
        <f t="shared" si="2"/>
        <v>0</v>
      </c>
      <c r="R29" s="48">
        <f t="shared" si="7"/>
        <v>0</v>
      </c>
      <c r="S29" s="51">
        <f t="shared" si="3"/>
        <v>0</v>
      </c>
    </row>
    <row r="30" spans="1:19" ht="13.5" customHeight="1">
      <c r="A30" s="102">
        <v>17</v>
      </c>
      <c r="B30" s="103" t="s">
        <v>31</v>
      </c>
      <c r="C30" s="151">
        <v>45.88708133971292</v>
      </c>
      <c r="D30" s="44">
        <v>1569</v>
      </c>
      <c r="E30" s="45">
        <f>446+167</f>
        <v>613</v>
      </c>
      <c r="F30" s="46">
        <f t="shared" si="4"/>
        <v>39.06947100063735</v>
      </c>
      <c r="G30" s="47">
        <f>438+167</f>
        <v>605</v>
      </c>
      <c r="H30" s="48">
        <f>3+3</f>
        <v>6</v>
      </c>
      <c r="I30" s="46">
        <f t="shared" si="5"/>
        <v>0.9917355371900827</v>
      </c>
      <c r="J30" s="48">
        <v>1</v>
      </c>
      <c r="K30" s="46">
        <f t="shared" si="5"/>
        <v>0.1652892561983471</v>
      </c>
      <c r="L30" s="48">
        <v>1</v>
      </c>
      <c r="M30" s="46">
        <f t="shared" si="0"/>
        <v>0.1652892561983471</v>
      </c>
      <c r="N30" s="48">
        <v>0</v>
      </c>
      <c r="O30" s="49">
        <f t="shared" si="1"/>
        <v>0</v>
      </c>
      <c r="P30" s="48">
        <f t="shared" si="6"/>
        <v>8</v>
      </c>
      <c r="Q30" s="50">
        <f t="shared" si="2"/>
        <v>1.322314049586777</v>
      </c>
      <c r="R30" s="48">
        <f t="shared" si="7"/>
        <v>1</v>
      </c>
      <c r="S30" s="51">
        <f t="shared" si="3"/>
        <v>0.1652892561983471</v>
      </c>
    </row>
    <row r="31" spans="1:19" ht="13.5" customHeight="1">
      <c r="A31" s="102">
        <v>18</v>
      </c>
      <c r="B31" s="103" t="s">
        <v>32</v>
      </c>
      <c r="C31" s="151">
        <v>25.895173845355473</v>
      </c>
      <c r="D31" s="44">
        <v>384</v>
      </c>
      <c r="E31" s="45">
        <f>65+40</f>
        <v>105</v>
      </c>
      <c r="F31" s="46">
        <f t="shared" si="4"/>
        <v>27.34375</v>
      </c>
      <c r="G31" s="47">
        <f>65+40</f>
        <v>105</v>
      </c>
      <c r="H31" s="48">
        <v>0</v>
      </c>
      <c r="I31" s="46">
        <f t="shared" si="5"/>
        <v>0</v>
      </c>
      <c r="J31" s="48">
        <v>0</v>
      </c>
      <c r="K31" s="46">
        <f t="shared" si="5"/>
        <v>0</v>
      </c>
      <c r="L31" s="48">
        <v>0</v>
      </c>
      <c r="M31" s="46">
        <f t="shared" si="0"/>
        <v>0</v>
      </c>
      <c r="N31" s="48">
        <v>0</v>
      </c>
      <c r="O31" s="49">
        <f t="shared" si="1"/>
        <v>0</v>
      </c>
      <c r="P31" s="48">
        <f t="shared" si="6"/>
        <v>0</v>
      </c>
      <c r="Q31" s="50">
        <f t="shared" si="2"/>
        <v>0</v>
      </c>
      <c r="R31" s="48">
        <f t="shared" si="7"/>
        <v>0</v>
      </c>
      <c r="S31" s="51">
        <f t="shared" si="3"/>
        <v>0</v>
      </c>
    </row>
    <row r="32" spans="1:19" ht="13.5" customHeight="1">
      <c r="A32" s="102">
        <v>19</v>
      </c>
      <c r="B32" s="103" t="s">
        <v>33</v>
      </c>
      <c r="C32" s="151">
        <v>34.527326440177255</v>
      </c>
      <c r="D32" s="44">
        <v>143</v>
      </c>
      <c r="E32" s="45">
        <f>35+35</f>
        <v>70</v>
      </c>
      <c r="F32" s="46">
        <f t="shared" si="4"/>
        <v>48.95104895104895</v>
      </c>
      <c r="G32" s="47">
        <f>34+35</f>
        <v>69</v>
      </c>
      <c r="H32" s="48">
        <v>1</v>
      </c>
      <c r="I32" s="46">
        <f t="shared" si="5"/>
        <v>1.4492753623188406</v>
      </c>
      <c r="J32" s="48">
        <v>0</v>
      </c>
      <c r="K32" s="46">
        <f t="shared" si="5"/>
        <v>0</v>
      </c>
      <c r="L32" s="48">
        <v>0</v>
      </c>
      <c r="M32" s="46">
        <f t="shared" si="0"/>
        <v>0</v>
      </c>
      <c r="N32" s="48">
        <v>0</v>
      </c>
      <c r="O32" s="49">
        <f t="shared" si="1"/>
        <v>0</v>
      </c>
      <c r="P32" s="48">
        <f t="shared" si="6"/>
        <v>1</v>
      </c>
      <c r="Q32" s="50">
        <f t="shared" si="2"/>
        <v>1.4492753623188406</v>
      </c>
      <c r="R32" s="48">
        <f t="shared" si="7"/>
        <v>0</v>
      </c>
      <c r="S32" s="51">
        <f t="shared" si="3"/>
        <v>0</v>
      </c>
    </row>
    <row r="33" spans="1:19" ht="13.5" customHeight="1">
      <c r="A33" s="102">
        <v>20</v>
      </c>
      <c r="B33" s="103" t="s">
        <v>34</v>
      </c>
      <c r="C33" s="151">
        <v>18.579800068941744</v>
      </c>
      <c r="D33" s="44">
        <v>240</v>
      </c>
      <c r="E33" s="45">
        <f>33+16</f>
        <v>49</v>
      </c>
      <c r="F33" s="46">
        <f t="shared" si="4"/>
        <v>20.416666666666668</v>
      </c>
      <c r="G33" s="47">
        <f>33+16</f>
        <v>49</v>
      </c>
      <c r="H33" s="48">
        <v>0</v>
      </c>
      <c r="I33" s="46">
        <f t="shared" si="5"/>
        <v>0</v>
      </c>
      <c r="J33" s="48">
        <v>0</v>
      </c>
      <c r="K33" s="46">
        <f t="shared" si="5"/>
        <v>0</v>
      </c>
      <c r="L33" s="48">
        <v>0</v>
      </c>
      <c r="M33" s="46">
        <f t="shared" si="0"/>
        <v>0</v>
      </c>
      <c r="N33" s="48">
        <v>0</v>
      </c>
      <c r="O33" s="49">
        <f t="shared" si="1"/>
        <v>0</v>
      </c>
      <c r="P33" s="48">
        <f t="shared" si="6"/>
        <v>0</v>
      </c>
      <c r="Q33" s="50">
        <f t="shared" si="2"/>
        <v>0</v>
      </c>
      <c r="R33" s="48">
        <f t="shared" si="7"/>
        <v>0</v>
      </c>
      <c r="S33" s="51">
        <f t="shared" si="3"/>
        <v>0</v>
      </c>
    </row>
    <row r="34" spans="1:19" ht="13.5" customHeight="1">
      <c r="A34" s="102">
        <v>21</v>
      </c>
      <c r="B34" s="103" t="s">
        <v>35</v>
      </c>
      <c r="C34" s="151">
        <v>60.1639344262295</v>
      </c>
      <c r="D34" s="44">
        <v>20</v>
      </c>
      <c r="E34" s="45">
        <f>8+2</f>
        <v>10</v>
      </c>
      <c r="F34" s="46">
        <f t="shared" si="4"/>
        <v>50</v>
      </c>
      <c r="G34" s="47">
        <f>7+2</f>
        <v>9</v>
      </c>
      <c r="H34" s="48">
        <v>0</v>
      </c>
      <c r="I34" s="46">
        <f t="shared" si="5"/>
        <v>0</v>
      </c>
      <c r="J34" s="48">
        <v>0</v>
      </c>
      <c r="K34" s="46">
        <f t="shared" si="5"/>
        <v>0</v>
      </c>
      <c r="L34" s="48">
        <v>1</v>
      </c>
      <c r="M34" s="46">
        <f t="shared" si="0"/>
        <v>11.11111111111111</v>
      </c>
      <c r="N34" s="48">
        <v>0</v>
      </c>
      <c r="O34" s="49">
        <f t="shared" si="1"/>
        <v>0</v>
      </c>
      <c r="P34" s="48">
        <f t="shared" si="6"/>
        <v>1</v>
      </c>
      <c r="Q34" s="50">
        <f t="shared" si="2"/>
        <v>11.11111111111111</v>
      </c>
      <c r="R34" s="48">
        <f t="shared" si="7"/>
        <v>1</v>
      </c>
      <c r="S34" s="51">
        <f t="shared" si="3"/>
        <v>11.11111111111111</v>
      </c>
    </row>
    <row r="35" spans="1:19" ht="13.5" customHeight="1">
      <c r="A35" s="102">
        <v>22</v>
      </c>
      <c r="B35" s="103" t="s">
        <v>36</v>
      </c>
      <c r="C35" s="151">
        <v>30.0794551645857</v>
      </c>
      <c r="D35" s="44">
        <v>108</v>
      </c>
      <c r="E35" s="45">
        <f>41+39</f>
        <v>80</v>
      </c>
      <c r="F35" s="46">
        <f t="shared" si="4"/>
        <v>74.07407407407408</v>
      </c>
      <c r="G35" s="47">
        <f>43+40</f>
        <v>83</v>
      </c>
      <c r="H35" s="48">
        <v>0</v>
      </c>
      <c r="I35" s="46">
        <f t="shared" si="5"/>
        <v>0</v>
      </c>
      <c r="J35" s="48">
        <v>0</v>
      </c>
      <c r="K35" s="46">
        <f t="shared" si="5"/>
        <v>0</v>
      </c>
      <c r="L35" s="48">
        <v>0</v>
      </c>
      <c r="M35" s="46">
        <f t="shared" si="0"/>
        <v>0</v>
      </c>
      <c r="N35" s="48">
        <v>0</v>
      </c>
      <c r="O35" s="49">
        <f t="shared" si="1"/>
        <v>0</v>
      </c>
      <c r="P35" s="48">
        <f t="shared" si="6"/>
        <v>0</v>
      </c>
      <c r="Q35" s="50">
        <f t="shared" si="2"/>
        <v>0</v>
      </c>
      <c r="R35" s="48">
        <f t="shared" si="7"/>
        <v>0</v>
      </c>
      <c r="S35" s="51">
        <f t="shared" si="3"/>
        <v>0</v>
      </c>
    </row>
    <row r="36" spans="1:19" ht="13.5" customHeight="1">
      <c r="A36" s="102">
        <v>23</v>
      </c>
      <c r="B36" s="103" t="s">
        <v>37</v>
      </c>
      <c r="C36" s="151">
        <v>41.344026548672566</v>
      </c>
      <c r="D36" s="44">
        <v>199</v>
      </c>
      <c r="E36" s="45">
        <f>43+22</f>
        <v>65</v>
      </c>
      <c r="F36" s="46">
        <f t="shared" si="4"/>
        <v>32.663316582914575</v>
      </c>
      <c r="G36" s="47">
        <f>42+22</f>
        <v>64</v>
      </c>
      <c r="H36" s="48">
        <v>0</v>
      </c>
      <c r="I36" s="46">
        <f t="shared" si="5"/>
        <v>0</v>
      </c>
      <c r="J36" s="48">
        <v>0</v>
      </c>
      <c r="K36" s="46">
        <f t="shared" si="5"/>
        <v>0</v>
      </c>
      <c r="L36" s="48">
        <v>0</v>
      </c>
      <c r="M36" s="46">
        <f t="shared" si="0"/>
        <v>0</v>
      </c>
      <c r="N36" s="48">
        <v>0</v>
      </c>
      <c r="O36" s="49">
        <f t="shared" si="1"/>
        <v>0</v>
      </c>
      <c r="P36" s="48">
        <f t="shared" si="6"/>
        <v>0</v>
      </c>
      <c r="Q36" s="50">
        <f t="shared" si="2"/>
        <v>0</v>
      </c>
      <c r="R36" s="48">
        <f t="shared" si="7"/>
        <v>0</v>
      </c>
      <c r="S36" s="51">
        <f t="shared" si="3"/>
        <v>0</v>
      </c>
    </row>
    <row r="37" spans="1:19" ht="13.5" customHeight="1">
      <c r="A37" s="102">
        <v>24</v>
      </c>
      <c r="B37" s="103" t="s">
        <v>38</v>
      </c>
      <c r="C37" s="151">
        <v>44.70457079152732</v>
      </c>
      <c r="D37" s="44">
        <v>52</v>
      </c>
      <c r="E37" s="45">
        <f>5</f>
        <v>5</v>
      </c>
      <c r="F37" s="46">
        <f t="shared" si="4"/>
        <v>9.615384615384617</v>
      </c>
      <c r="G37" s="47">
        <v>5</v>
      </c>
      <c r="H37" s="48">
        <v>0</v>
      </c>
      <c r="I37" s="46">
        <f t="shared" si="5"/>
        <v>0</v>
      </c>
      <c r="J37" s="48">
        <v>0</v>
      </c>
      <c r="K37" s="46">
        <f t="shared" si="5"/>
        <v>0</v>
      </c>
      <c r="L37" s="48">
        <v>0</v>
      </c>
      <c r="M37" s="46">
        <f t="shared" si="0"/>
        <v>0</v>
      </c>
      <c r="N37" s="48">
        <v>0</v>
      </c>
      <c r="O37" s="49">
        <f t="shared" si="1"/>
        <v>0</v>
      </c>
      <c r="P37" s="48">
        <f t="shared" si="6"/>
        <v>0</v>
      </c>
      <c r="Q37" s="50">
        <f t="shared" si="2"/>
        <v>0</v>
      </c>
      <c r="R37" s="48">
        <f t="shared" si="7"/>
        <v>0</v>
      </c>
      <c r="S37" s="51">
        <f t="shared" si="3"/>
        <v>0</v>
      </c>
    </row>
    <row r="38" spans="1:19" ht="13.5" customHeight="1">
      <c r="A38" s="102">
        <v>25</v>
      </c>
      <c r="B38" s="103" t="s">
        <v>39</v>
      </c>
      <c r="C38" s="151">
        <v>34.153491780965346</v>
      </c>
      <c r="D38" s="44">
        <v>676</v>
      </c>
      <c r="E38" s="45">
        <f>109+83</f>
        <v>192</v>
      </c>
      <c r="F38" s="46">
        <f t="shared" si="4"/>
        <v>28.402366863905325</v>
      </c>
      <c r="G38" s="47">
        <f>107+83</f>
        <v>190</v>
      </c>
      <c r="H38" s="48">
        <v>0</v>
      </c>
      <c r="I38" s="46">
        <f t="shared" si="5"/>
        <v>0</v>
      </c>
      <c r="J38" s="48">
        <v>0</v>
      </c>
      <c r="K38" s="46">
        <f t="shared" si="5"/>
        <v>0</v>
      </c>
      <c r="L38" s="48">
        <v>0</v>
      </c>
      <c r="M38" s="46">
        <f t="shared" si="0"/>
        <v>0</v>
      </c>
      <c r="N38" s="48">
        <v>0</v>
      </c>
      <c r="O38" s="49">
        <f t="shared" si="1"/>
        <v>0</v>
      </c>
      <c r="P38" s="48">
        <f t="shared" si="6"/>
        <v>0</v>
      </c>
      <c r="Q38" s="50">
        <f t="shared" si="2"/>
        <v>0</v>
      </c>
      <c r="R38" s="48">
        <f t="shared" si="7"/>
        <v>0</v>
      </c>
      <c r="S38" s="51">
        <f t="shared" si="3"/>
        <v>0</v>
      </c>
    </row>
    <row r="39" spans="1:19" ht="13.5" customHeight="1">
      <c r="A39" s="102">
        <v>26</v>
      </c>
      <c r="B39" s="103" t="s">
        <v>40</v>
      </c>
      <c r="C39" s="151">
        <v>50.712957222566644</v>
      </c>
      <c r="D39" s="44">
        <v>99</v>
      </c>
      <c r="E39" s="45">
        <f>25+21</f>
        <v>46</v>
      </c>
      <c r="F39" s="46">
        <f t="shared" si="4"/>
        <v>46.464646464646464</v>
      </c>
      <c r="G39" s="47">
        <f>25+21</f>
        <v>46</v>
      </c>
      <c r="H39" s="48">
        <v>0</v>
      </c>
      <c r="I39" s="46">
        <f t="shared" si="5"/>
        <v>0</v>
      </c>
      <c r="J39" s="48">
        <v>0</v>
      </c>
      <c r="K39" s="46">
        <f t="shared" si="5"/>
        <v>0</v>
      </c>
      <c r="L39" s="48">
        <v>0</v>
      </c>
      <c r="M39" s="46">
        <f t="shared" si="0"/>
        <v>0</v>
      </c>
      <c r="N39" s="48">
        <v>0</v>
      </c>
      <c r="O39" s="49">
        <f t="shared" si="1"/>
        <v>0</v>
      </c>
      <c r="P39" s="48">
        <f t="shared" si="6"/>
        <v>0</v>
      </c>
      <c r="Q39" s="50">
        <f t="shared" si="2"/>
        <v>0</v>
      </c>
      <c r="R39" s="48">
        <f t="shared" si="7"/>
        <v>0</v>
      </c>
      <c r="S39" s="51">
        <f t="shared" si="3"/>
        <v>0</v>
      </c>
    </row>
    <row r="40" spans="1:19" ht="13.5" customHeight="1">
      <c r="A40" s="102">
        <v>27</v>
      </c>
      <c r="B40" s="103" t="s">
        <v>41</v>
      </c>
      <c r="C40" s="151">
        <v>35.191940246656245</v>
      </c>
      <c r="D40" s="44">
        <v>352</v>
      </c>
      <c r="E40" s="45">
        <f>65+72</f>
        <v>137</v>
      </c>
      <c r="F40" s="46">
        <f t="shared" si="4"/>
        <v>38.92045454545455</v>
      </c>
      <c r="G40" s="47">
        <f>65+73</f>
        <v>138</v>
      </c>
      <c r="H40" s="48">
        <v>2</v>
      </c>
      <c r="I40" s="46">
        <f t="shared" si="5"/>
        <v>1.4492753623188406</v>
      </c>
      <c r="J40" s="48">
        <v>0</v>
      </c>
      <c r="K40" s="46">
        <f t="shared" si="5"/>
        <v>0</v>
      </c>
      <c r="L40" s="48">
        <v>0</v>
      </c>
      <c r="M40" s="46">
        <f t="shared" si="0"/>
        <v>0</v>
      </c>
      <c r="N40" s="48">
        <v>0</v>
      </c>
      <c r="O40" s="49">
        <f t="shared" si="1"/>
        <v>0</v>
      </c>
      <c r="P40" s="48">
        <f t="shared" si="6"/>
        <v>2</v>
      </c>
      <c r="Q40" s="50">
        <f t="shared" si="2"/>
        <v>1.4492753623188406</v>
      </c>
      <c r="R40" s="48">
        <f t="shared" si="7"/>
        <v>0</v>
      </c>
      <c r="S40" s="51">
        <f t="shared" si="3"/>
        <v>0</v>
      </c>
    </row>
    <row r="41" spans="1:19" ht="13.5" customHeight="1">
      <c r="A41" s="102">
        <v>28</v>
      </c>
      <c r="B41" s="103" t="s">
        <v>42</v>
      </c>
      <c r="C41" s="151">
        <v>24.486776400961716</v>
      </c>
      <c r="D41" s="44">
        <v>493</v>
      </c>
      <c r="E41" s="45">
        <f>89+92</f>
        <v>181</v>
      </c>
      <c r="F41" s="46">
        <f t="shared" si="4"/>
        <v>36.71399594320487</v>
      </c>
      <c r="G41" s="47">
        <f>90+92</f>
        <v>182</v>
      </c>
      <c r="H41" s="48">
        <v>0</v>
      </c>
      <c r="I41" s="46">
        <f t="shared" si="5"/>
        <v>0</v>
      </c>
      <c r="J41" s="48">
        <v>0</v>
      </c>
      <c r="K41" s="46">
        <f t="shared" si="5"/>
        <v>0</v>
      </c>
      <c r="L41" s="48">
        <v>0</v>
      </c>
      <c r="M41" s="46">
        <f t="shared" si="0"/>
        <v>0</v>
      </c>
      <c r="N41" s="48">
        <v>0</v>
      </c>
      <c r="O41" s="49">
        <f t="shared" si="1"/>
        <v>0</v>
      </c>
      <c r="P41" s="48">
        <f t="shared" si="6"/>
        <v>0</v>
      </c>
      <c r="Q41" s="50">
        <f t="shared" si="2"/>
        <v>0</v>
      </c>
      <c r="R41" s="48">
        <f t="shared" si="7"/>
        <v>0</v>
      </c>
      <c r="S41" s="51">
        <f t="shared" si="3"/>
        <v>0</v>
      </c>
    </row>
    <row r="42" spans="1:19" ht="13.5" customHeight="1">
      <c r="A42" s="102">
        <v>29</v>
      </c>
      <c r="B42" s="103" t="s">
        <v>43</v>
      </c>
      <c r="C42" s="151">
        <v>47.86585365853659</v>
      </c>
      <c r="D42" s="44">
        <v>34</v>
      </c>
      <c r="E42" s="45">
        <v>0</v>
      </c>
      <c r="F42" s="46">
        <f t="shared" si="4"/>
        <v>0</v>
      </c>
      <c r="G42" s="47">
        <v>0</v>
      </c>
      <c r="H42" s="48">
        <v>0</v>
      </c>
      <c r="I42" s="46">
        <f t="shared" si="5"/>
        <v>0</v>
      </c>
      <c r="J42" s="48">
        <v>0</v>
      </c>
      <c r="K42" s="46">
        <f t="shared" si="5"/>
        <v>0</v>
      </c>
      <c r="L42" s="48">
        <v>0</v>
      </c>
      <c r="M42" s="46">
        <f t="shared" si="0"/>
        <v>0</v>
      </c>
      <c r="N42" s="48">
        <v>0</v>
      </c>
      <c r="O42" s="49">
        <f t="shared" si="1"/>
        <v>0</v>
      </c>
      <c r="P42" s="48">
        <f t="shared" si="6"/>
        <v>0</v>
      </c>
      <c r="Q42" s="50">
        <f t="shared" si="2"/>
        <v>0</v>
      </c>
      <c r="R42" s="48">
        <f t="shared" si="7"/>
        <v>0</v>
      </c>
      <c r="S42" s="51">
        <f t="shared" si="3"/>
        <v>0</v>
      </c>
    </row>
    <row r="43" spans="1:19" ht="13.5" customHeight="1">
      <c r="A43" s="102">
        <v>30</v>
      </c>
      <c r="B43" s="103" t="s">
        <v>44</v>
      </c>
      <c r="C43" s="151">
        <v>34.1046277665996</v>
      </c>
      <c r="D43" s="44">
        <v>125</v>
      </c>
      <c r="E43" s="45">
        <f>9+10</f>
        <v>19</v>
      </c>
      <c r="F43" s="46">
        <f t="shared" si="4"/>
        <v>15.2</v>
      </c>
      <c r="G43" s="47">
        <f>9+9</f>
        <v>18</v>
      </c>
      <c r="H43" s="48">
        <v>0</v>
      </c>
      <c r="I43" s="46">
        <f t="shared" si="5"/>
        <v>0</v>
      </c>
      <c r="J43" s="48">
        <v>0</v>
      </c>
      <c r="K43" s="46">
        <f t="shared" si="5"/>
        <v>0</v>
      </c>
      <c r="L43" s="48">
        <v>0</v>
      </c>
      <c r="M43" s="46">
        <f t="shared" si="0"/>
        <v>0</v>
      </c>
      <c r="N43" s="48">
        <v>0</v>
      </c>
      <c r="O43" s="49">
        <f t="shared" si="1"/>
        <v>0</v>
      </c>
      <c r="P43" s="48">
        <f t="shared" si="6"/>
        <v>0</v>
      </c>
      <c r="Q43" s="50">
        <f t="shared" si="2"/>
        <v>0</v>
      </c>
      <c r="R43" s="48">
        <f t="shared" si="7"/>
        <v>0</v>
      </c>
      <c r="S43" s="51">
        <f t="shared" si="3"/>
        <v>0</v>
      </c>
    </row>
    <row r="44" spans="1:19" ht="13.5" customHeight="1">
      <c r="A44" s="102">
        <v>31</v>
      </c>
      <c r="B44" s="103" t="s">
        <v>45</v>
      </c>
      <c r="C44" s="151">
        <v>59.106529209621996</v>
      </c>
      <c r="D44" s="44">
        <v>28</v>
      </c>
      <c r="E44" s="45">
        <f>7+1</f>
        <v>8</v>
      </c>
      <c r="F44" s="46">
        <f t="shared" si="4"/>
        <v>28.57142857142857</v>
      </c>
      <c r="G44" s="47">
        <f>6+1</f>
        <v>7</v>
      </c>
      <c r="H44" s="48">
        <v>1</v>
      </c>
      <c r="I44" s="46">
        <f t="shared" si="5"/>
        <v>14.285714285714285</v>
      </c>
      <c r="J44" s="48">
        <v>0</v>
      </c>
      <c r="K44" s="46">
        <f t="shared" si="5"/>
        <v>0</v>
      </c>
      <c r="L44" s="48">
        <v>0</v>
      </c>
      <c r="M44" s="46">
        <f t="shared" si="0"/>
        <v>0</v>
      </c>
      <c r="N44" s="48">
        <v>0</v>
      </c>
      <c r="O44" s="49">
        <f t="shared" si="1"/>
        <v>0</v>
      </c>
      <c r="P44" s="48">
        <f t="shared" si="6"/>
        <v>1</v>
      </c>
      <c r="Q44" s="50">
        <f t="shared" si="2"/>
        <v>14.285714285714285</v>
      </c>
      <c r="R44" s="48">
        <f t="shared" si="7"/>
        <v>0</v>
      </c>
      <c r="S44" s="51">
        <f t="shared" si="3"/>
        <v>0</v>
      </c>
    </row>
    <row r="45" spans="1:19" ht="13.5" customHeight="1">
      <c r="A45" s="102">
        <v>32</v>
      </c>
      <c r="B45" s="103" t="s">
        <v>46</v>
      </c>
      <c r="C45" s="151">
        <v>43.156486847971465</v>
      </c>
      <c r="D45" s="44">
        <v>288</v>
      </c>
      <c r="E45" s="45">
        <f>27+13</f>
        <v>40</v>
      </c>
      <c r="F45" s="46">
        <f t="shared" si="4"/>
        <v>13.88888888888889</v>
      </c>
      <c r="G45" s="47">
        <f>27+13</f>
        <v>40</v>
      </c>
      <c r="H45" s="48">
        <v>0</v>
      </c>
      <c r="I45" s="46">
        <f t="shared" si="5"/>
        <v>0</v>
      </c>
      <c r="J45" s="48">
        <v>0</v>
      </c>
      <c r="K45" s="46">
        <f t="shared" si="5"/>
        <v>0</v>
      </c>
      <c r="L45" s="48">
        <v>0</v>
      </c>
      <c r="M45" s="46">
        <f aca="true" t="shared" si="8" ref="M45:M76">IF($G45=0,0,(L45/$G45)*100)</f>
        <v>0</v>
      </c>
      <c r="N45" s="48">
        <v>0</v>
      </c>
      <c r="O45" s="49">
        <f aca="true" t="shared" si="9" ref="O45:O76">IF($G45=0,0,(N45/$G45)*100)</f>
        <v>0</v>
      </c>
      <c r="P45" s="48">
        <f t="shared" si="6"/>
        <v>0</v>
      </c>
      <c r="Q45" s="50">
        <f aca="true" t="shared" si="10" ref="Q45:Q76">IF($G45=0,0,(P45/$G45)*100)</f>
        <v>0</v>
      </c>
      <c r="R45" s="48">
        <f t="shared" si="7"/>
        <v>0</v>
      </c>
      <c r="S45" s="51">
        <f aca="true" t="shared" si="11" ref="S45:S76">IF($G45=0,0,(R45/$G45)*100)</f>
        <v>0</v>
      </c>
    </row>
    <row r="46" spans="1:19" ht="13.5" customHeight="1">
      <c r="A46" s="102">
        <v>33</v>
      </c>
      <c r="B46" s="103" t="s">
        <v>47</v>
      </c>
      <c r="C46" s="151">
        <v>33.345759552656105</v>
      </c>
      <c r="D46" s="44">
        <v>282</v>
      </c>
      <c r="E46" s="45">
        <f>17+52</f>
        <v>69</v>
      </c>
      <c r="F46" s="46">
        <f t="shared" si="4"/>
        <v>24.46808510638298</v>
      </c>
      <c r="G46" s="47">
        <f>17+51</f>
        <v>68</v>
      </c>
      <c r="H46" s="48">
        <v>0</v>
      </c>
      <c r="I46" s="46">
        <f t="shared" si="5"/>
        <v>0</v>
      </c>
      <c r="J46" s="48">
        <v>0</v>
      </c>
      <c r="K46" s="46">
        <f t="shared" si="5"/>
        <v>0</v>
      </c>
      <c r="L46" s="48">
        <v>0</v>
      </c>
      <c r="M46" s="46">
        <f t="shared" si="8"/>
        <v>0</v>
      </c>
      <c r="N46" s="48">
        <v>0</v>
      </c>
      <c r="O46" s="49">
        <f t="shared" si="9"/>
        <v>0</v>
      </c>
      <c r="P46" s="48">
        <f t="shared" si="6"/>
        <v>0</v>
      </c>
      <c r="Q46" s="50">
        <f t="shared" si="10"/>
        <v>0</v>
      </c>
      <c r="R46" s="48">
        <f t="shared" si="7"/>
        <v>0</v>
      </c>
      <c r="S46" s="51">
        <f t="shared" si="11"/>
        <v>0</v>
      </c>
    </row>
    <row r="47" spans="1:19" ht="13.5" customHeight="1">
      <c r="A47" s="102">
        <v>34</v>
      </c>
      <c r="B47" s="103" t="s">
        <v>48</v>
      </c>
      <c r="C47" s="151">
        <v>42.0631859462113</v>
      </c>
      <c r="D47" s="44">
        <v>1923</v>
      </c>
      <c r="E47" s="45">
        <f>564+393</f>
        <v>957</v>
      </c>
      <c r="F47" s="46">
        <f t="shared" si="4"/>
        <v>49.765990639625585</v>
      </c>
      <c r="G47" s="47">
        <f>561+396</f>
        <v>957</v>
      </c>
      <c r="H47" s="48">
        <f>2+1</f>
        <v>3</v>
      </c>
      <c r="I47" s="46">
        <f t="shared" si="5"/>
        <v>0.3134796238244514</v>
      </c>
      <c r="J47" s="48">
        <v>1</v>
      </c>
      <c r="K47" s="46">
        <f t="shared" si="5"/>
        <v>0.10449320794148381</v>
      </c>
      <c r="L47" s="48">
        <f>1+1</f>
        <v>2</v>
      </c>
      <c r="M47" s="46">
        <f t="shared" si="8"/>
        <v>0.20898641588296762</v>
      </c>
      <c r="N47" s="48">
        <v>0</v>
      </c>
      <c r="O47" s="49">
        <f t="shared" si="9"/>
        <v>0</v>
      </c>
      <c r="P47" s="48">
        <f t="shared" si="6"/>
        <v>6</v>
      </c>
      <c r="Q47" s="50">
        <f t="shared" si="10"/>
        <v>0.6269592476489028</v>
      </c>
      <c r="R47" s="48">
        <f t="shared" si="7"/>
        <v>2</v>
      </c>
      <c r="S47" s="51">
        <f t="shared" si="11"/>
        <v>0.20898641588296762</v>
      </c>
    </row>
    <row r="48" spans="1:19" ht="13.5" customHeight="1">
      <c r="A48" s="102">
        <v>35</v>
      </c>
      <c r="B48" s="103" t="s">
        <v>49</v>
      </c>
      <c r="C48" s="151">
        <v>69.30212014134275</v>
      </c>
      <c r="D48" s="44">
        <v>810</v>
      </c>
      <c r="E48" s="45">
        <f>93+191</f>
        <v>284</v>
      </c>
      <c r="F48" s="46">
        <f t="shared" si="4"/>
        <v>35.06172839506173</v>
      </c>
      <c r="G48" s="47">
        <f>93+193</f>
        <v>286</v>
      </c>
      <c r="H48" s="48">
        <v>2</v>
      </c>
      <c r="I48" s="46">
        <f t="shared" si="5"/>
        <v>0.6993006993006993</v>
      </c>
      <c r="J48" s="48">
        <v>0</v>
      </c>
      <c r="K48" s="46">
        <f t="shared" si="5"/>
        <v>0</v>
      </c>
      <c r="L48" s="48">
        <v>0</v>
      </c>
      <c r="M48" s="46">
        <f t="shared" si="8"/>
        <v>0</v>
      </c>
      <c r="N48" s="48">
        <v>0</v>
      </c>
      <c r="O48" s="49">
        <f t="shared" si="9"/>
        <v>0</v>
      </c>
      <c r="P48" s="48">
        <f t="shared" si="6"/>
        <v>2</v>
      </c>
      <c r="Q48" s="50">
        <f t="shared" si="10"/>
        <v>0.6993006993006993</v>
      </c>
      <c r="R48" s="48">
        <f t="shared" si="7"/>
        <v>0</v>
      </c>
      <c r="S48" s="51">
        <f t="shared" si="11"/>
        <v>0</v>
      </c>
    </row>
    <row r="49" spans="1:19" ht="13.5" customHeight="1">
      <c r="A49" s="102">
        <v>36</v>
      </c>
      <c r="B49" s="103" t="s">
        <v>50</v>
      </c>
      <c r="C49" s="151">
        <v>58.481675392670155</v>
      </c>
      <c r="D49" s="44">
        <v>102</v>
      </c>
      <c r="E49" s="45">
        <f>35+41</f>
        <v>76</v>
      </c>
      <c r="F49" s="46">
        <f t="shared" si="4"/>
        <v>74.50980392156863</v>
      </c>
      <c r="G49" s="47">
        <f>35+41</f>
        <v>76</v>
      </c>
      <c r="H49" s="48">
        <v>0</v>
      </c>
      <c r="I49" s="46">
        <f t="shared" si="5"/>
        <v>0</v>
      </c>
      <c r="J49" s="48">
        <v>0</v>
      </c>
      <c r="K49" s="46">
        <f t="shared" si="5"/>
        <v>0</v>
      </c>
      <c r="L49" s="48">
        <v>0</v>
      </c>
      <c r="M49" s="46">
        <f t="shared" si="8"/>
        <v>0</v>
      </c>
      <c r="N49" s="48">
        <v>0</v>
      </c>
      <c r="O49" s="49">
        <f t="shared" si="9"/>
        <v>0</v>
      </c>
      <c r="P49" s="48">
        <f t="shared" si="6"/>
        <v>0</v>
      </c>
      <c r="Q49" s="50">
        <f t="shared" si="10"/>
        <v>0</v>
      </c>
      <c r="R49" s="48">
        <f t="shared" si="7"/>
        <v>0</v>
      </c>
      <c r="S49" s="51">
        <f t="shared" si="11"/>
        <v>0</v>
      </c>
    </row>
    <row r="50" spans="1:19" ht="13.5" customHeight="1">
      <c r="A50" s="102">
        <v>37</v>
      </c>
      <c r="B50" s="103" t="s">
        <v>51</v>
      </c>
      <c r="C50" s="151">
        <v>59.73419540229885</v>
      </c>
      <c r="D50" s="44">
        <v>320</v>
      </c>
      <c r="E50" s="45">
        <f>71+81</f>
        <v>152</v>
      </c>
      <c r="F50" s="46">
        <f t="shared" si="4"/>
        <v>47.5</v>
      </c>
      <c r="G50" s="47">
        <f>72+80</f>
        <v>152</v>
      </c>
      <c r="H50" s="48">
        <v>2</v>
      </c>
      <c r="I50" s="46">
        <f t="shared" si="5"/>
        <v>1.3157894736842104</v>
      </c>
      <c r="J50" s="48">
        <v>0</v>
      </c>
      <c r="K50" s="46">
        <f t="shared" si="5"/>
        <v>0</v>
      </c>
      <c r="L50" s="48">
        <v>0</v>
      </c>
      <c r="M50" s="46">
        <f t="shared" si="8"/>
        <v>0</v>
      </c>
      <c r="N50" s="48">
        <v>0</v>
      </c>
      <c r="O50" s="49">
        <f t="shared" si="9"/>
        <v>0</v>
      </c>
      <c r="P50" s="48">
        <f t="shared" si="6"/>
        <v>2</v>
      </c>
      <c r="Q50" s="50">
        <f t="shared" si="10"/>
        <v>1.3157894736842104</v>
      </c>
      <c r="R50" s="48">
        <f t="shared" si="7"/>
        <v>0</v>
      </c>
      <c r="S50" s="51">
        <f t="shared" si="11"/>
        <v>0</v>
      </c>
    </row>
    <row r="51" spans="1:19" ht="13.5" customHeight="1">
      <c r="A51" s="102">
        <v>38</v>
      </c>
      <c r="B51" s="103" t="s">
        <v>52</v>
      </c>
      <c r="C51" s="151">
        <v>34.73818646232439</v>
      </c>
      <c r="D51" s="44">
        <v>157</v>
      </c>
      <c r="E51" s="45">
        <f>26+28</f>
        <v>54</v>
      </c>
      <c r="F51" s="46">
        <f t="shared" si="4"/>
        <v>34.394904458598724</v>
      </c>
      <c r="G51" s="47">
        <f>26+28</f>
        <v>54</v>
      </c>
      <c r="H51" s="48">
        <v>0</v>
      </c>
      <c r="I51" s="46">
        <f t="shared" si="5"/>
        <v>0</v>
      </c>
      <c r="J51" s="48">
        <v>0</v>
      </c>
      <c r="K51" s="46">
        <f t="shared" si="5"/>
        <v>0</v>
      </c>
      <c r="L51" s="48">
        <v>0</v>
      </c>
      <c r="M51" s="46">
        <f t="shared" si="8"/>
        <v>0</v>
      </c>
      <c r="N51" s="48">
        <v>0</v>
      </c>
      <c r="O51" s="49">
        <f t="shared" si="9"/>
        <v>0</v>
      </c>
      <c r="P51" s="48">
        <f t="shared" si="6"/>
        <v>0</v>
      </c>
      <c r="Q51" s="50">
        <f t="shared" si="10"/>
        <v>0</v>
      </c>
      <c r="R51" s="48">
        <f t="shared" si="7"/>
        <v>0</v>
      </c>
      <c r="S51" s="51">
        <f t="shared" si="11"/>
        <v>0</v>
      </c>
    </row>
    <row r="52" spans="1:19" ht="13.5" customHeight="1">
      <c r="A52" s="102">
        <v>39</v>
      </c>
      <c r="B52" s="103" t="s">
        <v>53</v>
      </c>
      <c r="C52" s="151">
        <v>33.61702127659574</v>
      </c>
      <c r="D52" s="44">
        <v>38</v>
      </c>
      <c r="E52" s="45">
        <f>5+6</f>
        <v>11</v>
      </c>
      <c r="F52" s="46">
        <f t="shared" si="4"/>
        <v>28.947368421052634</v>
      </c>
      <c r="G52" s="47">
        <f>6+7</f>
        <v>13</v>
      </c>
      <c r="H52" s="48">
        <v>1</v>
      </c>
      <c r="I52" s="46">
        <f t="shared" si="5"/>
        <v>7.6923076923076925</v>
      </c>
      <c r="J52" s="48">
        <v>0</v>
      </c>
      <c r="K52" s="46">
        <f t="shared" si="5"/>
        <v>0</v>
      </c>
      <c r="L52" s="48">
        <v>0</v>
      </c>
      <c r="M52" s="46">
        <f t="shared" si="8"/>
        <v>0</v>
      </c>
      <c r="N52" s="48">
        <v>0</v>
      </c>
      <c r="O52" s="49">
        <f t="shared" si="9"/>
        <v>0</v>
      </c>
      <c r="P52" s="48">
        <f t="shared" si="6"/>
        <v>1</v>
      </c>
      <c r="Q52" s="50">
        <f t="shared" si="10"/>
        <v>7.6923076923076925</v>
      </c>
      <c r="R52" s="48">
        <f t="shared" si="7"/>
        <v>0</v>
      </c>
      <c r="S52" s="51">
        <f t="shared" si="11"/>
        <v>0</v>
      </c>
    </row>
    <row r="53" spans="1:19" ht="13.5" customHeight="1">
      <c r="A53" s="102">
        <v>40</v>
      </c>
      <c r="B53" s="103" t="s">
        <v>54</v>
      </c>
      <c r="C53" s="151">
        <v>31.16132422490804</v>
      </c>
      <c r="D53" s="44">
        <v>135</v>
      </c>
      <c r="E53" s="45">
        <f>23+12</f>
        <v>35</v>
      </c>
      <c r="F53" s="46">
        <f t="shared" si="4"/>
        <v>25.925925925925924</v>
      </c>
      <c r="G53" s="47">
        <f>23+12</f>
        <v>35</v>
      </c>
      <c r="H53" s="48">
        <v>0</v>
      </c>
      <c r="I53" s="46">
        <f t="shared" si="5"/>
        <v>0</v>
      </c>
      <c r="J53" s="48">
        <v>0</v>
      </c>
      <c r="K53" s="46">
        <f t="shared" si="5"/>
        <v>0</v>
      </c>
      <c r="L53" s="48">
        <v>0</v>
      </c>
      <c r="M53" s="46">
        <f t="shared" si="8"/>
        <v>0</v>
      </c>
      <c r="N53" s="48">
        <v>0</v>
      </c>
      <c r="O53" s="49">
        <f t="shared" si="9"/>
        <v>0</v>
      </c>
      <c r="P53" s="48">
        <f t="shared" si="6"/>
        <v>0</v>
      </c>
      <c r="Q53" s="50">
        <f t="shared" si="10"/>
        <v>0</v>
      </c>
      <c r="R53" s="48">
        <f t="shared" si="7"/>
        <v>0</v>
      </c>
      <c r="S53" s="51">
        <f t="shared" si="11"/>
        <v>0</v>
      </c>
    </row>
    <row r="54" spans="1:19" ht="13.5" customHeight="1">
      <c r="A54" s="102">
        <v>41</v>
      </c>
      <c r="B54" s="103" t="s">
        <v>55</v>
      </c>
      <c r="C54" s="151">
        <v>44.9813200498132</v>
      </c>
      <c r="D54" s="44">
        <v>231</v>
      </c>
      <c r="E54" s="45">
        <f>40+42</f>
        <v>82</v>
      </c>
      <c r="F54" s="46">
        <f t="shared" si="4"/>
        <v>35.4978354978355</v>
      </c>
      <c r="G54" s="47">
        <f>40+42</f>
        <v>82</v>
      </c>
      <c r="H54" s="48">
        <v>1</v>
      </c>
      <c r="I54" s="46">
        <f t="shared" si="5"/>
        <v>1.2195121951219512</v>
      </c>
      <c r="J54" s="48">
        <v>1</v>
      </c>
      <c r="K54" s="46">
        <f t="shared" si="5"/>
        <v>1.2195121951219512</v>
      </c>
      <c r="L54" s="48">
        <v>0</v>
      </c>
      <c r="M54" s="46">
        <f t="shared" si="8"/>
        <v>0</v>
      </c>
      <c r="N54" s="48">
        <v>0</v>
      </c>
      <c r="O54" s="49">
        <f t="shared" si="9"/>
        <v>0</v>
      </c>
      <c r="P54" s="48">
        <f t="shared" si="6"/>
        <v>2</v>
      </c>
      <c r="Q54" s="50">
        <f t="shared" si="10"/>
        <v>2.4390243902439024</v>
      </c>
      <c r="R54" s="48">
        <f t="shared" si="7"/>
        <v>0</v>
      </c>
      <c r="S54" s="51">
        <f t="shared" si="11"/>
        <v>0</v>
      </c>
    </row>
    <row r="55" spans="1:19" ht="13.5" customHeight="1">
      <c r="A55" s="102">
        <v>42</v>
      </c>
      <c r="B55" s="103" t="s">
        <v>56</v>
      </c>
      <c r="C55" s="151">
        <v>41.45512239347235</v>
      </c>
      <c r="D55" s="44">
        <v>289</v>
      </c>
      <c r="E55" s="45">
        <f>31+26</f>
        <v>57</v>
      </c>
      <c r="F55" s="46">
        <f t="shared" si="4"/>
        <v>19.72318339100346</v>
      </c>
      <c r="G55" s="47">
        <f>31+26</f>
        <v>57</v>
      </c>
      <c r="H55" s="48">
        <v>0</v>
      </c>
      <c r="I55" s="46">
        <f t="shared" si="5"/>
        <v>0</v>
      </c>
      <c r="J55" s="48">
        <v>0</v>
      </c>
      <c r="K55" s="46">
        <f t="shared" si="5"/>
        <v>0</v>
      </c>
      <c r="L55" s="48">
        <v>0</v>
      </c>
      <c r="M55" s="46">
        <f t="shared" si="8"/>
        <v>0</v>
      </c>
      <c r="N55" s="48">
        <v>0</v>
      </c>
      <c r="O55" s="49">
        <f t="shared" si="9"/>
        <v>0</v>
      </c>
      <c r="P55" s="48">
        <f t="shared" si="6"/>
        <v>0</v>
      </c>
      <c r="Q55" s="50">
        <f t="shared" si="10"/>
        <v>0</v>
      </c>
      <c r="R55" s="48">
        <f t="shared" si="7"/>
        <v>0</v>
      </c>
      <c r="S55" s="51">
        <f t="shared" si="11"/>
        <v>0</v>
      </c>
    </row>
    <row r="56" spans="1:19" ht="13.5" customHeight="1">
      <c r="A56" s="102">
        <v>43</v>
      </c>
      <c r="B56" s="103" t="s">
        <v>57</v>
      </c>
      <c r="C56" s="151">
        <v>56.74799041037936</v>
      </c>
      <c r="D56" s="44">
        <v>1302</v>
      </c>
      <c r="E56" s="45">
        <f>305+140</f>
        <v>445</v>
      </c>
      <c r="F56" s="46">
        <f t="shared" si="4"/>
        <v>34.17818740399385</v>
      </c>
      <c r="G56" s="47">
        <f>296+150</f>
        <v>446</v>
      </c>
      <c r="H56" s="48">
        <f>2+1</f>
        <v>3</v>
      </c>
      <c r="I56" s="46">
        <f t="shared" si="5"/>
        <v>0.672645739910314</v>
      </c>
      <c r="J56" s="48">
        <f>1+1</f>
        <v>2</v>
      </c>
      <c r="K56" s="46">
        <f t="shared" si="5"/>
        <v>0.4484304932735426</v>
      </c>
      <c r="L56" s="48">
        <v>0</v>
      </c>
      <c r="M56" s="46">
        <f t="shared" si="8"/>
        <v>0</v>
      </c>
      <c r="N56" s="48">
        <v>0</v>
      </c>
      <c r="O56" s="49">
        <f t="shared" si="9"/>
        <v>0</v>
      </c>
      <c r="P56" s="48">
        <f t="shared" si="6"/>
        <v>5</v>
      </c>
      <c r="Q56" s="50">
        <f t="shared" si="10"/>
        <v>1.1210762331838564</v>
      </c>
      <c r="R56" s="48">
        <f t="shared" si="7"/>
        <v>0</v>
      </c>
      <c r="S56" s="51">
        <f t="shared" si="11"/>
        <v>0</v>
      </c>
    </row>
    <row r="57" spans="1:19" ht="13.5" customHeight="1">
      <c r="A57" s="102">
        <v>44</v>
      </c>
      <c r="B57" s="103" t="s">
        <v>58</v>
      </c>
      <c r="C57" s="151">
        <v>48.786117285005986</v>
      </c>
      <c r="D57" s="44">
        <v>647</v>
      </c>
      <c r="E57" s="45">
        <f>131+80</f>
        <v>211</v>
      </c>
      <c r="F57" s="46">
        <f t="shared" si="4"/>
        <v>32.61205564142195</v>
      </c>
      <c r="G57" s="47">
        <f>129+82</f>
        <v>211</v>
      </c>
      <c r="H57" s="48">
        <v>0</v>
      </c>
      <c r="I57" s="46">
        <f t="shared" si="5"/>
        <v>0</v>
      </c>
      <c r="J57" s="48">
        <v>0</v>
      </c>
      <c r="K57" s="46">
        <f t="shared" si="5"/>
        <v>0</v>
      </c>
      <c r="L57" s="48">
        <v>0</v>
      </c>
      <c r="M57" s="46">
        <f t="shared" si="8"/>
        <v>0</v>
      </c>
      <c r="N57" s="48">
        <v>0</v>
      </c>
      <c r="O57" s="49">
        <f t="shared" si="9"/>
        <v>0</v>
      </c>
      <c r="P57" s="48">
        <f t="shared" si="6"/>
        <v>0</v>
      </c>
      <c r="Q57" s="50">
        <f t="shared" si="10"/>
        <v>0</v>
      </c>
      <c r="R57" s="48">
        <f t="shared" si="7"/>
        <v>0</v>
      </c>
      <c r="S57" s="51">
        <f t="shared" si="11"/>
        <v>0</v>
      </c>
    </row>
    <row r="58" spans="1:19" ht="13.5" customHeight="1">
      <c r="A58" s="102">
        <v>45</v>
      </c>
      <c r="B58" s="103" t="s">
        <v>59</v>
      </c>
      <c r="C58" s="151">
        <v>39.29481163694865</v>
      </c>
      <c r="D58" s="44">
        <v>346</v>
      </c>
      <c r="E58" s="45">
        <f>103+75</f>
        <v>178</v>
      </c>
      <c r="F58" s="46">
        <f t="shared" si="4"/>
        <v>51.445086705202314</v>
      </c>
      <c r="G58" s="47">
        <f>101+78</f>
        <v>179</v>
      </c>
      <c r="H58" s="48">
        <v>1</v>
      </c>
      <c r="I58" s="46">
        <f t="shared" si="5"/>
        <v>0.5586592178770949</v>
      </c>
      <c r="J58" s="48">
        <v>0</v>
      </c>
      <c r="K58" s="46">
        <f t="shared" si="5"/>
        <v>0</v>
      </c>
      <c r="L58" s="48">
        <v>0</v>
      </c>
      <c r="M58" s="46">
        <f t="shared" si="8"/>
        <v>0</v>
      </c>
      <c r="N58" s="48">
        <v>0</v>
      </c>
      <c r="O58" s="49">
        <f t="shared" si="9"/>
        <v>0</v>
      </c>
      <c r="P58" s="48">
        <f t="shared" si="6"/>
        <v>1</v>
      </c>
      <c r="Q58" s="50">
        <f t="shared" si="10"/>
        <v>0.5586592178770949</v>
      </c>
      <c r="R58" s="48">
        <f t="shared" si="7"/>
        <v>0</v>
      </c>
      <c r="S58" s="51">
        <f t="shared" si="11"/>
        <v>0</v>
      </c>
    </row>
    <row r="59" spans="1:19" ht="13.5" customHeight="1">
      <c r="A59" s="102">
        <v>46</v>
      </c>
      <c r="B59" s="103" t="s">
        <v>60</v>
      </c>
      <c r="C59" s="151">
        <v>39.784946236559136</v>
      </c>
      <c r="D59" s="44">
        <v>219</v>
      </c>
      <c r="E59" s="45">
        <f>69+64</f>
        <v>133</v>
      </c>
      <c r="F59" s="46">
        <f t="shared" si="4"/>
        <v>60.73059360730594</v>
      </c>
      <c r="G59" s="47">
        <f>65+68</f>
        <v>133</v>
      </c>
      <c r="H59" s="48">
        <v>0</v>
      </c>
      <c r="I59" s="46">
        <f t="shared" si="5"/>
        <v>0</v>
      </c>
      <c r="J59" s="48">
        <v>0</v>
      </c>
      <c r="K59" s="46">
        <f t="shared" si="5"/>
        <v>0</v>
      </c>
      <c r="L59" s="48">
        <v>0</v>
      </c>
      <c r="M59" s="46">
        <f t="shared" si="8"/>
        <v>0</v>
      </c>
      <c r="N59" s="48">
        <v>0</v>
      </c>
      <c r="O59" s="49">
        <f t="shared" si="9"/>
        <v>0</v>
      </c>
      <c r="P59" s="48">
        <f t="shared" si="6"/>
        <v>0</v>
      </c>
      <c r="Q59" s="50">
        <f t="shared" si="10"/>
        <v>0</v>
      </c>
      <c r="R59" s="48">
        <f t="shared" si="7"/>
        <v>0</v>
      </c>
      <c r="S59" s="51">
        <f t="shared" si="11"/>
        <v>0</v>
      </c>
    </row>
    <row r="60" spans="1:19" ht="13.5" customHeight="1">
      <c r="A60" s="102">
        <v>47</v>
      </c>
      <c r="B60" s="103" t="s">
        <v>61</v>
      </c>
      <c r="C60" s="151">
        <v>39.73829201101928</v>
      </c>
      <c r="D60" s="44">
        <v>230</v>
      </c>
      <c r="E60" s="45">
        <f>22+27</f>
        <v>49</v>
      </c>
      <c r="F60" s="46">
        <f t="shared" si="4"/>
        <v>21.304347826086957</v>
      </c>
      <c r="G60" s="47">
        <f>22+28</f>
        <v>50</v>
      </c>
      <c r="H60" s="48">
        <v>0</v>
      </c>
      <c r="I60" s="46">
        <f t="shared" si="5"/>
        <v>0</v>
      </c>
      <c r="J60" s="48">
        <v>0</v>
      </c>
      <c r="K60" s="46">
        <f t="shared" si="5"/>
        <v>0</v>
      </c>
      <c r="L60" s="48">
        <v>0</v>
      </c>
      <c r="M60" s="46">
        <f t="shared" si="8"/>
        <v>0</v>
      </c>
      <c r="N60" s="48">
        <v>0</v>
      </c>
      <c r="O60" s="49">
        <f t="shared" si="9"/>
        <v>0</v>
      </c>
      <c r="P60" s="48">
        <f t="shared" si="6"/>
        <v>0</v>
      </c>
      <c r="Q60" s="50">
        <f t="shared" si="10"/>
        <v>0</v>
      </c>
      <c r="R60" s="48">
        <f t="shared" si="7"/>
        <v>0</v>
      </c>
      <c r="S60" s="51">
        <f t="shared" si="11"/>
        <v>0</v>
      </c>
    </row>
    <row r="61" spans="1:19" ht="13.5" customHeight="1">
      <c r="A61" s="102">
        <v>48</v>
      </c>
      <c r="B61" s="103" t="s">
        <v>62</v>
      </c>
      <c r="C61" s="151">
        <v>30.2196787889976</v>
      </c>
      <c r="D61" s="44">
        <v>319</v>
      </c>
      <c r="E61" s="45">
        <f>53+46</f>
        <v>99</v>
      </c>
      <c r="F61" s="46">
        <f t="shared" si="4"/>
        <v>31.03448275862069</v>
      </c>
      <c r="G61" s="47">
        <f>52+46</f>
        <v>98</v>
      </c>
      <c r="H61" s="48">
        <v>0</v>
      </c>
      <c r="I61" s="46">
        <f t="shared" si="5"/>
        <v>0</v>
      </c>
      <c r="J61" s="48">
        <v>0</v>
      </c>
      <c r="K61" s="46">
        <f t="shared" si="5"/>
        <v>0</v>
      </c>
      <c r="L61" s="48">
        <v>0</v>
      </c>
      <c r="M61" s="46">
        <f t="shared" si="8"/>
        <v>0</v>
      </c>
      <c r="N61" s="48">
        <v>0</v>
      </c>
      <c r="O61" s="49">
        <f t="shared" si="9"/>
        <v>0</v>
      </c>
      <c r="P61" s="48">
        <f t="shared" si="6"/>
        <v>0</v>
      </c>
      <c r="Q61" s="50">
        <f t="shared" si="10"/>
        <v>0</v>
      </c>
      <c r="R61" s="48">
        <f t="shared" si="7"/>
        <v>0</v>
      </c>
      <c r="S61" s="51">
        <f t="shared" si="11"/>
        <v>0</v>
      </c>
    </row>
    <row r="62" spans="1:19" ht="13.5" customHeight="1">
      <c r="A62" s="102">
        <v>49</v>
      </c>
      <c r="B62" s="103" t="s">
        <v>63</v>
      </c>
      <c r="C62" s="151">
        <v>49.09346945960218</v>
      </c>
      <c r="D62" s="44">
        <v>1008</v>
      </c>
      <c r="E62" s="45">
        <f>91+106</f>
        <v>197</v>
      </c>
      <c r="F62" s="46">
        <f t="shared" si="4"/>
        <v>19.543650793650794</v>
      </c>
      <c r="G62" s="47">
        <f>90+104</f>
        <v>194</v>
      </c>
      <c r="H62" s="48">
        <v>0</v>
      </c>
      <c r="I62" s="46">
        <f t="shared" si="5"/>
        <v>0</v>
      </c>
      <c r="J62" s="48">
        <v>1</v>
      </c>
      <c r="K62" s="46">
        <f t="shared" si="5"/>
        <v>0.5154639175257731</v>
      </c>
      <c r="L62" s="48">
        <v>1</v>
      </c>
      <c r="M62" s="46">
        <f t="shared" si="8"/>
        <v>0.5154639175257731</v>
      </c>
      <c r="N62" s="48">
        <v>0</v>
      </c>
      <c r="O62" s="49">
        <f t="shared" si="9"/>
        <v>0</v>
      </c>
      <c r="P62" s="48">
        <f t="shared" si="6"/>
        <v>2</v>
      </c>
      <c r="Q62" s="50">
        <f t="shared" si="10"/>
        <v>1.0309278350515463</v>
      </c>
      <c r="R62" s="48">
        <f t="shared" si="7"/>
        <v>1</v>
      </c>
      <c r="S62" s="51">
        <f t="shared" si="11"/>
        <v>0.5154639175257731</v>
      </c>
    </row>
    <row r="63" spans="1:19" ht="13.5" customHeight="1">
      <c r="A63" s="102">
        <v>50</v>
      </c>
      <c r="B63" s="103" t="s">
        <v>64</v>
      </c>
      <c r="C63" s="151">
        <v>46.724890829694324</v>
      </c>
      <c r="D63" s="44">
        <v>154</v>
      </c>
      <c r="E63" s="45">
        <f>69+50</f>
        <v>119</v>
      </c>
      <c r="F63" s="46">
        <f t="shared" si="4"/>
        <v>77.27272727272727</v>
      </c>
      <c r="G63" s="47">
        <f>67+52</f>
        <v>119</v>
      </c>
      <c r="H63" s="48">
        <v>0</v>
      </c>
      <c r="I63" s="46">
        <f t="shared" si="5"/>
        <v>0</v>
      </c>
      <c r="J63" s="48">
        <v>0</v>
      </c>
      <c r="K63" s="46">
        <f t="shared" si="5"/>
        <v>0</v>
      </c>
      <c r="L63" s="48">
        <v>0</v>
      </c>
      <c r="M63" s="46">
        <f t="shared" si="8"/>
        <v>0</v>
      </c>
      <c r="N63" s="48">
        <v>0</v>
      </c>
      <c r="O63" s="49">
        <f t="shared" si="9"/>
        <v>0</v>
      </c>
      <c r="P63" s="48">
        <f t="shared" si="6"/>
        <v>0</v>
      </c>
      <c r="Q63" s="50">
        <f t="shared" si="10"/>
        <v>0</v>
      </c>
      <c r="R63" s="48">
        <f t="shared" si="7"/>
        <v>0</v>
      </c>
      <c r="S63" s="51">
        <f t="shared" si="11"/>
        <v>0</v>
      </c>
    </row>
    <row r="64" spans="1:19" ht="13.5" customHeight="1">
      <c r="A64" s="102">
        <v>51</v>
      </c>
      <c r="B64" s="103" t="s">
        <v>65</v>
      </c>
      <c r="C64" s="151">
        <v>61.27252841314375</v>
      </c>
      <c r="D64" s="44">
        <v>1698</v>
      </c>
      <c r="E64" s="45">
        <f>552+576</f>
        <v>1128</v>
      </c>
      <c r="F64" s="46">
        <f t="shared" si="4"/>
        <v>66.43109540636041</v>
      </c>
      <c r="G64" s="47">
        <f>545+585</f>
        <v>1130</v>
      </c>
      <c r="H64" s="48">
        <v>3</v>
      </c>
      <c r="I64" s="46">
        <f t="shared" si="5"/>
        <v>0.2654867256637168</v>
      </c>
      <c r="J64" s="48">
        <v>0</v>
      </c>
      <c r="K64" s="46">
        <f t="shared" si="5"/>
        <v>0</v>
      </c>
      <c r="L64" s="48">
        <v>1</v>
      </c>
      <c r="M64" s="46">
        <f t="shared" si="8"/>
        <v>0.08849557522123894</v>
      </c>
      <c r="N64" s="48">
        <v>0</v>
      </c>
      <c r="O64" s="49">
        <f t="shared" si="9"/>
        <v>0</v>
      </c>
      <c r="P64" s="48">
        <f t="shared" si="6"/>
        <v>4</v>
      </c>
      <c r="Q64" s="50">
        <f t="shared" si="10"/>
        <v>0.35398230088495575</v>
      </c>
      <c r="R64" s="48">
        <f t="shared" si="7"/>
        <v>1</v>
      </c>
      <c r="S64" s="51">
        <f t="shared" si="11"/>
        <v>0.08849557522123894</v>
      </c>
    </row>
    <row r="65" spans="1:19" ht="13.5" customHeight="1">
      <c r="A65" s="102">
        <v>52</v>
      </c>
      <c r="B65" s="103" t="s">
        <v>66</v>
      </c>
      <c r="C65" s="151">
        <v>30.708341790135986</v>
      </c>
      <c r="D65" s="44">
        <v>502</v>
      </c>
      <c r="E65" s="45">
        <f>61+43</f>
        <v>104</v>
      </c>
      <c r="F65" s="46">
        <f t="shared" si="4"/>
        <v>20.717131474103585</v>
      </c>
      <c r="G65" s="47">
        <f>60+44</f>
        <v>104</v>
      </c>
      <c r="H65" s="48">
        <v>1</v>
      </c>
      <c r="I65" s="46">
        <f t="shared" si="5"/>
        <v>0.9615384615384616</v>
      </c>
      <c r="J65" s="48">
        <v>0</v>
      </c>
      <c r="K65" s="46">
        <f t="shared" si="5"/>
        <v>0</v>
      </c>
      <c r="L65" s="48">
        <v>0</v>
      </c>
      <c r="M65" s="46">
        <f t="shared" si="8"/>
        <v>0</v>
      </c>
      <c r="N65" s="48">
        <v>0</v>
      </c>
      <c r="O65" s="49">
        <f t="shared" si="9"/>
        <v>0</v>
      </c>
      <c r="P65" s="48">
        <f t="shared" si="6"/>
        <v>1</v>
      </c>
      <c r="Q65" s="50">
        <f t="shared" si="10"/>
        <v>0.9615384615384616</v>
      </c>
      <c r="R65" s="48">
        <f t="shared" si="7"/>
        <v>0</v>
      </c>
      <c r="S65" s="51">
        <f t="shared" si="11"/>
        <v>0</v>
      </c>
    </row>
    <row r="66" spans="1:19" ht="13.5" customHeight="1">
      <c r="A66" s="102">
        <v>53</v>
      </c>
      <c r="B66" s="103" t="s">
        <v>67</v>
      </c>
      <c r="C66" s="151">
        <v>32.63009845288326</v>
      </c>
      <c r="D66" s="44">
        <v>34</v>
      </c>
      <c r="E66" s="45">
        <f>8+15</f>
        <v>23</v>
      </c>
      <c r="F66" s="46">
        <f t="shared" si="4"/>
        <v>67.64705882352942</v>
      </c>
      <c r="G66" s="47">
        <f>8+15</f>
        <v>23</v>
      </c>
      <c r="H66" s="48">
        <v>0</v>
      </c>
      <c r="I66" s="46">
        <f t="shared" si="5"/>
        <v>0</v>
      </c>
      <c r="J66" s="48">
        <v>0</v>
      </c>
      <c r="K66" s="46">
        <f t="shared" si="5"/>
        <v>0</v>
      </c>
      <c r="L66" s="48">
        <v>0</v>
      </c>
      <c r="M66" s="46">
        <f t="shared" si="8"/>
        <v>0</v>
      </c>
      <c r="N66" s="48">
        <v>0</v>
      </c>
      <c r="O66" s="49">
        <f t="shared" si="9"/>
        <v>0</v>
      </c>
      <c r="P66" s="48">
        <f t="shared" si="6"/>
        <v>0</v>
      </c>
      <c r="Q66" s="50">
        <f t="shared" si="10"/>
        <v>0</v>
      </c>
      <c r="R66" s="48">
        <f t="shared" si="7"/>
        <v>0</v>
      </c>
      <c r="S66" s="51">
        <f t="shared" si="11"/>
        <v>0</v>
      </c>
    </row>
    <row r="67" spans="1:19" ht="13.5" customHeight="1">
      <c r="A67" s="102">
        <v>54</v>
      </c>
      <c r="B67" s="103" t="s">
        <v>68</v>
      </c>
      <c r="C67" s="151">
        <v>30.141113048993184</v>
      </c>
      <c r="D67" s="44">
        <v>876</v>
      </c>
      <c r="E67" s="45">
        <f>48+43</f>
        <v>91</v>
      </c>
      <c r="F67" s="46">
        <f t="shared" si="4"/>
        <v>10.388127853881278</v>
      </c>
      <c r="G67" s="47">
        <f>48+43</f>
        <v>91</v>
      </c>
      <c r="H67" s="48">
        <v>0</v>
      </c>
      <c r="I67" s="46">
        <f t="shared" si="5"/>
        <v>0</v>
      </c>
      <c r="J67" s="48">
        <v>0</v>
      </c>
      <c r="K67" s="46">
        <f t="shared" si="5"/>
        <v>0</v>
      </c>
      <c r="L67" s="48">
        <v>0</v>
      </c>
      <c r="M67" s="46">
        <f t="shared" si="8"/>
        <v>0</v>
      </c>
      <c r="N67" s="48">
        <v>0</v>
      </c>
      <c r="O67" s="49">
        <f t="shared" si="9"/>
        <v>0</v>
      </c>
      <c r="P67" s="48">
        <f t="shared" si="6"/>
        <v>0</v>
      </c>
      <c r="Q67" s="50">
        <f t="shared" si="10"/>
        <v>0</v>
      </c>
      <c r="R67" s="48">
        <f t="shared" si="7"/>
        <v>0</v>
      </c>
      <c r="S67" s="51">
        <f t="shared" si="11"/>
        <v>0</v>
      </c>
    </row>
    <row r="68" spans="1:19" ht="13.5" customHeight="1">
      <c r="A68" s="102">
        <v>55</v>
      </c>
      <c r="B68" s="103" t="s">
        <v>69</v>
      </c>
      <c r="C68" s="151">
        <v>31.376518218623485</v>
      </c>
      <c r="D68" s="44">
        <v>48</v>
      </c>
      <c r="E68" s="45">
        <v>5</v>
      </c>
      <c r="F68" s="46">
        <f t="shared" si="4"/>
        <v>10.416666666666668</v>
      </c>
      <c r="G68" s="47">
        <v>5</v>
      </c>
      <c r="H68" s="48">
        <v>0</v>
      </c>
      <c r="I68" s="46">
        <f t="shared" si="5"/>
        <v>0</v>
      </c>
      <c r="J68" s="48">
        <v>0</v>
      </c>
      <c r="K68" s="46">
        <f t="shared" si="5"/>
        <v>0</v>
      </c>
      <c r="L68" s="48">
        <v>0</v>
      </c>
      <c r="M68" s="46">
        <f t="shared" si="8"/>
        <v>0</v>
      </c>
      <c r="N68" s="48">
        <v>0</v>
      </c>
      <c r="O68" s="49">
        <f t="shared" si="9"/>
        <v>0</v>
      </c>
      <c r="P68" s="48">
        <f t="shared" si="6"/>
        <v>0</v>
      </c>
      <c r="Q68" s="50">
        <f t="shared" si="10"/>
        <v>0</v>
      </c>
      <c r="R68" s="48">
        <f t="shared" si="7"/>
        <v>0</v>
      </c>
      <c r="S68" s="51">
        <f t="shared" si="11"/>
        <v>0</v>
      </c>
    </row>
    <row r="69" spans="1:19" ht="13.5" customHeight="1">
      <c r="A69" s="102">
        <v>56</v>
      </c>
      <c r="B69" s="103" t="s">
        <v>70</v>
      </c>
      <c r="C69" s="151">
        <v>35.785953177257525</v>
      </c>
      <c r="D69" s="44">
        <v>280</v>
      </c>
      <c r="E69" s="45">
        <f>40+22</f>
        <v>62</v>
      </c>
      <c r="F69" s="46">
        <f t="shared" si="4"/>
        <v>22.142857142857142</v>
      </c>
      <c r="G69" s="47">
        <f>41+22</f>
        <v>63</v>
      </c>
      <c r="H69" s="48">
        <v>0</v>
      </c>
      <c r="I69" s="46">
        <f t="shared" si="5"/>
        <v>0</v>
      </c>
      <c r="J69" s="48">
        <v>0</v>
      </c>
      <c r="K69" s="46">
        <f t="shared" si="5"/>
        <v>0</v>
      </c>
      <c r="L69" s="48">
        <v>0</v>
      </c>
      <c r="M69" s="46">
        <f t="shared" si="8"/>
        <v>0</v>
      </c>
      <c r="N69" s="48">
        <v>0</v>
      </c>
      <c r="O69" s="49">
        <f t="shared" si="9"/>
        <v>0</v>
      </c>
      <c r="P69" s="48">
        <f t="shared" si="6"/>
        <v>0</v>
      </c>
      <c r="Q69" s="50">
        <f t="shared" si="10"/>
        <v>0</v>
      </c>
      <c r="R69" s="48">
        <f t="shared" si="7"/>
        <v>0</v>
      </c>
      <c r="S69" s="51">
        <f t="shared" si="11"/>
        <v>0</v>
      </c>
    </row>
    <row r="70" spans="1:19" ht="13.5" customHeight="1">
      <c r="A70" s="102">
        <v>57</v>
      </c>
      <c r="B70" s="103" t="s">
        <v>71</v>
      </c>
      <c r="C70" s="151">
        <v>61.380604626494225</v>
      </c>
      <c r="D70" s="44">
        <v>1679</v>
      </c>
      <c r="E70" s="45">
        <f>89+64</f>
        <v>153</v>
      </c>
      <c r="F70" s="46">
        <f t="shared" si="4"/>
        <v>9.112567004169149</v>
      </c>
      <c r="G70" s="47">
        <f>86+65</f>
        <v>151</v>
      </c>
      <c r="H70" s="48">
        <v>2</v>
      </c>
      <c r="I70" s="46">
        <f t="shared" si="5"/>
        <v>1.3245033112582782</v>
      </c>
      <c r="J70" s="48">
        <f>1+1</f>
        <v>2</v>
      </c>
      <c r="K70" s="46">
        <f t="shared" si="5"/>
        <v>1.3245033112582782</v>
      </c>
      <c r="L70" s="48">
        <v>0</v>
      </c>
      <c r="M70" s="46">
        <f t="shared" si="8"/>
        <v>0</v>
      </c>
      <c r="N70" s="48">
        <v>0</v>
      </c>
      <c r="O70" s="49">
        <f t="shared" si="9"/>
        <v>0</v>
      </c>
      <c r="P70" s="48">
        <f t="shared" si="6"/>
        <v>4</v>
      </c>
      <c r="Q70" s="50">
        <f t="shared" si="10"/>
        <v>2.6490066225165565</v>
      </c>
      <c r="R70" s="48">
        <f t="shared" si="7"/>
        <v>0</v>
      </c>
      <c r="S70" s="51">
        <f t="shared" si="11"/>
        <v>0</v>
      </c>
    </row>
    <row r="71" spans="1:19" ht="13.5" customHeight="1">
      <c r="A71" s="102">
        <v>58</v>
      </c>
      <c r="B71" s="103" t="s">
        <v>72</v>
      </c>
      <c r="C71" s="151">
        <v>42.33995584988963</v>
      </c>
      <c r="D71" s="44">
        <v>232</v>
      </c>
      <c r="E71" s="45">
        <f>91+72</f>
        <v>163</v>
      </c>
      <c r="F71" s="46">
        <f t="shared" si="4"/>
        <v>70.25862068965517</v>
      </c>
      <c r="G71" s="47">
        <f>97+73</f>
        <v>170</v>
      </c>
      <c r="H71" s="48">
        <v>1</v>
      </c>
      <c r="I71" s="46">
        <f t="shared" si="5"/>
        <v>0.5882352941176471</v>
      </c>
      <c r="J71" s="48">
        <v>0</v>
      </c>
      <c r="K71" s="46">
        <f t="shared" si="5"/>
        <v>0</v>
      </c>
      <c r="L71" s="48">
        <v>0</v>
      </c>
      <c r="M71" s="46">
        <f t="shared" si="8"/>
        <v>0</v>
      </c>
      <c r="N71" s="48">
        <v>0</v>
      </c>
      <c r="O71" s="49">
        <f t="shared" si="9"/>
        <v>0</v>
      </c>
      <c r="P71" s="48">
        <f t="shared" si="6"/>
        <v>1</v>
      </c>
      <c r="Q71" s="50">
        <f t="shared" si="10"/>
        <v>0.5882352941176471</v>
      </c>
      <c r="R71" s="48">
        <f t="shared" si="7"/>
        <v>0</v>
      </c>
      <c r="S71" s="51">
        <f t="shared" si="11"/>
        <v>0</v>
      </c>
    </row>
    <row r="72" spans="1:19" ht="13.5" customHeight="1">
      <c r="A72" s="102">
        <v>59</v>
      </c>
      <c r="B72" s="103" t="s">
        <v>73</v>
      </c>
      <c r="C72" s="151">
        <v>41.48632580261593</v>
      </c>
      <c r="D72" s="44">
        <v>1275</v>
      </c>
      <c r="E72" s="45">
        <f>341+147</f>
        <v>488</v>
      </c>
      <c r="F72" s="46">
        <f t="shared" si="4"/>
        <v>38.27450980392157</v>
      </c>
      <c r="G72" s="47">
        <f>335+152</f>
        <v>487</v>
      </c>
      <c r="H72" s="48">
        <f>1+1</f>
        <v>2</v>
      </c>
      <c r="I72" s="46">
        <f t="shared" si="5"/>
        <v>0.41067761806981523</v>
      </c>
      <c r="J72" s="48">
        <v>1</v>
      </c>
      <c r="K72" s="46">
        <f t="shared" si="5"/>
        <v>0.20533880903490762</v>
      </c>
      <c r="L72" s="48">
        <v>2</v>
      </c>
      <c r="M72" s="46">
        <f t="shared" si="8"/>
        <v>0.41067761806981523</v>
      </c>
      <c r="N72" s="48">
        <v>0</v>
      </c>
      <c r="O72" s="49">
        <f t="shared" si="9"/>
        <v>0</v>
      </c>
      <c r="P72" s="48">
        <f t="shared" si="6"/>
        <v>5</v>
      </c>
      <c r="Q72" s="50">
        <f t="shared" si="10"/>
        <v>1.0266940451745379</v>
      </c>
      <c r="R72" s="48">
        <f t="shared" si="7"/>
        <v>2</v>
      </c>
      <c r="S72" s="51">
        <f t="shared" si="11"/>
        <v>0.41067761806981523</v>
      </c>
    </row>
    <row r="73" spans="1:19" ht="13.5" customHeight="1">
      <c r="A73" s="102">
        <v>60</v>
      </c>
      <c r="B73" s="103" t="s">
        <v>74</v>
      </c>
      <c r="C73" s="151">
        <v>30.605226960110045</v>
      </c>
      <c r="D73" s="44">
        <v>502</v>
      </c>
      <c r="E73" s="45">
        <f>102+41</f>
        <v>143</v>
      </c>
      <c r="F73" s="46">
        <f t="shared" si="4"/>
        <v>28.48605577689243</v>
      </c>
      <c r="G73" s="47">
        <f>102+38</f>
        <v>140</v>
      </c>
      <c r="H73" s="48">
        <v>0</v>
      </c>
      <c r="I73" s="46">
        <f t="shared" si="5"/>
        <v>0</v>
      </c>
      <c r="J73" s="48">
        <v>0</v>
      </c>
      <c r="K73" s="46">
        <f t="shared" si="5"/>
        <v>0</v>
      </c>
      <c r="L73" s="48">
        <v>0</v>
      </c>
      <c r="M73" s="46">
        <f t="shared" si="8"/>
        <v>0</v>
      </c>
      <c r="N73" s="48">
        <v>0</v>
      </c>
      <c r="O73" s="49">
        <f t="shared" si="9"/>
        <v>0</v>
      </c>
      <c r="P73" s="48">
        <f t="shared" si="6"/>
        <v>0</v>
      </c>
      <c r="Q73" s="50">
        <f t="shared" si="10"/>
        <v>0</v>
      </c>
      <c r="R73" s="48">
        <f t="shared" si="7"/>
        <v>0</v>
      </c>
      <c r="S73" s="51">
        <f t="shared" si="11"/>
        <v>0</v>
      </c>
    </row>
    <row r="74" spans="1:19" ht="13.5" customHeight="1">
      <c r="A74" s="102">
        <v>61</v>
      </c>
      <c r="B74" s="103" t="s">
        <v>75</v>
      </c>
      <c r="C74" s="151">
        <v>40.467753366406804</v>
      </c>
      <c r="D74" s="44">
        <v>171</v>
      </c>
      <c r="E74" s="45">
        <f>17+35</f>
        <v>52</v>
      </c>
      <c r="F74" s="46">
        <f t="shared" si="4"/>
        <v>30.409356725146196</v>
      </c>
      <c r="G74" s="47">
        <f>16+36</f>
        <v>52</v>
      </c>
      <c r="H74" s="48">
        <v>0</v>
      </c>
      <c r="I74" s="46">
        <f t="shared" si="5"/>
        <v>0</v>
      </c>
      <c r="J74" s="48">
        <v>0</v>
      </c>
      <c r="K74" s="46">
        <f t="shared" si="5"/>
        <v>0</v>
      </c>
      <c r="L74" s="48">
        <v>0</v>
      </c>
      <c r="M74" s="46">
        <f t="shared" si="8"/>
        <v>0</v>
      </c>
      <c r="N74" s="48">
        <v>0</v>
      </c>
      <c r="O74" s="49">
        <f t="shared" si="9"/>
        <v>0</v>
      </c>
      <c r="P74" s="48">
        <f t="shared" si="6"/>
        <v>0</v>
      </c>
      <c r="Q74" s="50">
        <f t="shared" si="10"/>
        <v>0</v>
      </c>
      <c r="R74" s="48">
        <f t="shared" si="7"/>
        <v>0</v>
      </c>
      <c r="S74" s="51">
        <f t="shared" si="11"/>
        <v>0</v>
      </c>
    </row>
    <row r="75" spans="1:19" ht="13.5" customHeight="1">
      <c r="A75" s="102">
        <v>62</v>
      </c>
      <c r="B75" s="103" t="s">
        <v>76</v>
      </c>
      <c r="C75" s="151">
        <v>52.36958745311967</v>
      </c>
      <c r="D75" s="44">
        <v>1235</v>
      </c>
      <c r="E75" s="45">
        <f>296+222</f>
        <v>518</v>
      </c>
      <c r="F75" s="46">
        <f t="shared" si="4"/>
        <v>41.94331983805668</v>
      </c>
      <c r="G75" s="47">
        <f>299+223</f>
        <v>522</v>
      </c>
      <c r="H75" s="48">
        <f>5+2</f>
        <v>7</v>
      </c>
      <c r="I75" s="46">
        <f t="shared" si="5"/>
        <v>1.3409961685823755</v>
      </c>
      <c r="J75" s="48">
        <v>1</v>
      </c>
      <c r="K75" s="46">
        <f t="shared" si="5"/>
        <v>0.19157088122605362</v>
      </c>
      <c r="L75" s="48">
        <v>1</v>
      </c>
      <c r="M75" s="46">
        <f t="shared" si="8"/>
        <v>0.19157088122605362</v>
      </c>
      <c r="N75" s="48">
        <v>0</v>
      </c>
      <c r="O75" s="49">
        <f t="shared" si="9"/>
        <v>0</v>
      </c>
      <c r="P75" s="48">
        <f t="shared" si="6"/>
        <v>9</v>
      </c>
      <c r="Q75" s="50">
        <f t="shared" si="10"/>
        <v>1.7241379310344827</v>
      </c>
      <c r="R75" s="48">
        <f t="shared" si="7"/>
        <v>1</v>
      </c>
      <c r="S75" s="51">
        <f t="shared" si="11"/>
        <v>0.19157088122605362</v>
      </c>
    </row>
    <row r="76" spans="1:19" ht="13.5" customHeight="1">
      <c r="A76" s="102">
        <v>63</v>
      </c>
      <c r="B76" s="103" t="s">
        <v>77</v>
      </c>
      <c r="C76" s="151">
        <v>42.73381294964029</v>
      </c>
      <c r="D76" s="44">
        <v>35</v>
      </c>
      <c r="E76" s="45">
        <f>6+3</f>
        <v>9</v>
      </c>
      <c r="F76" s="46">
        <f t="shared" si="4"/>
        <v>25.71428571428571</v>
      </c>
      <c r="G76" s="47">
        <f>6+3</f>
        <v>9</v>
      </c>
      <c r="H76" s="48">
        <v>0</v>
      </c>
      <c r="I76" s="46">
        <f t="shared" si="5"/>
        <v>0</v>
      </c>
      <c r="J76" s="48">
        <v>0</v>
      </c>
      <c r="K76" s="46">
        <f t="shared" si="5"/>
        <v>0</v>
      </c>
      <c r="L76" s="48">
        <v>0</v>
      </c>
      <c r="M76" s="46">
        <f t="shared" si="8"/>
        <v>0</v>
      </c>
      <c r="N76" s="48">
        <v>0</v>
      </c>
      <c r="O76" s="49">
        <f t="shared" si="9"/>
        <v>0</v>
      </c>
      <c r="P76" s="48">
        <f t="shared" si="6"/>
        <v>0</v>
      </c>
      <c r="Q76" s="50">
        <f t="shared" si="10"/>
        <v>0</v>
      </c>
      <c r="R76" s="48">
        <f t="shared" si="7"/>
        <v>0</v>
      </c>
      <c r="S76" s="51">
        <f t="shared" si="11"/>
        <v>0</v>
      </c>
    </row>
    <row r="77" spans="1:19" ht="13.5" customHeight="1">
      <c r="A77" s="102">
        <v>64</v>
      </c>
      <c r="B77" s="103" t="s">
        <v>78</v>
      </c>
      <c r="C77" s="151">
        <v>62.824816365216016</v>
      </c>
      <c r="D77" s="44">
        <v>4033</v>
      </c>
      <c r="E77" s="45">
        <f>1708+1101</f>
        <v>2809</v>
      </c>
      <c r="F77" s="46">
        <f t="shared" si="4"/>
        <v>69.65038432928341</v>
      </c>
      <c r="G77" s="47">
        <f>1696+1138</f>
        <v>2834</v>
      </c>
      <c r="H77" s="48">
        <f>31+35</f>
        <v>66</v>
      </c>
      <c r="I77" s="46">
        <f t="shared" si="5"/>
        <v>2.328863796753705</v>
      </c>
      <c r="J77" s="48">
        <f>7+10</f>
        <v>17</v>
      </c>
      <c r="K77" s="46">
        <f t="shared" si="5"/>
        <v>0.5998588567395907</v>
      </c>
      <c r="L77" s="48">
        <f>13+6</f>
        <v>19</v>
      </c>
      <c r="M77" s="46">
        <f aca="true" t="shared" si="12" ref="M77:M108">IF($G77=0,0,(L77/$G77)*100)</f>
        <v>0.6704304869442484</v>
      </c>
      <c r="N77" s="48">
        <v>1</v>
      </c>
      <c r="O77" s="49">
        <f aca="true" t="shared" si="13" ref="O77:O108">IF($G77=0,0,(N77/$G77)*100)</f>
        <v>0.035285815102328866</v>
      </c>
      <c r="P77" s="48">
        <f t="shared" si="6"/>
        <v>103</v>
      </c>
      <c r="Q77" s="50">
        <f aca="true" t="shared" si="14" ref="Q77:Q108">IF($G77=0,0,(P77/$G77)*100)</f>
        <v>3.6344389555398733</v>
      </c>
      <c r="R77" s="48">
        <f t="shared" si="7"/>
        <v>20</v>
      </c>
      <c r="S77" s="51">
        <f aca="true" t="shared" si="15" ref="S77:S108">IF($G77=0,0,(R77/$G77)*100)</f>
        <v>0.7057163020465773</v>
      </c>
    </row>
    <row r="78" spans="1:19" ht="13.5" customHeight="1">
      <c r="A78" s="102">
        <v>65</v>
      </c>
      <c r="B78" s="103" t="s">
        <v>79</v>
      </c>
      <c r="C78" s="151">
        <v>42.95125164690382</v>
      </c>
      <c r="D78" s="44">
        <v>41</v>
      </c>
      <c r="E78" s="45">
        <f>6+2</f>
        <v>8</v>
      </c>
      <c r="F78" s="46">
        <f aca="true" t="shared" si="16" ref="F78:F141">(E78/$D78)*100</f>
        <v>19.51219512195122</v>
      </c>
      <c r="G78" s="47">
        <f>6+2</f>
        <v>8</v>
      </c>
      <c r="H78" s="48">
        <v>0</v>
      </c>
      <c r="I78" s="46">
        <f aca="true" t="shared" si="17" ref="I78:K141">IF($G78=0,0,(H78/$G78)*100)</f>
        <v>0</v>
      </c>
      <c r="J78" s="48">
        <v>0</v>
      </c>
      <c r="K78" s="46">
        <f t="shared" si="17"/>
        <v>0</v>
      </c>
      <c r="L78" s="48">
        <v>0</v>
      </c>
      <c r="M78" s="46">
        <f t="shared" si="12"/>
        <v>0</v>
      </c>
      <c r="N78" s="48">
        <v>0</v>
      </c>
      <c r="O78" s="49">
        <f t="shared" si="13"/>
        <v>0</v>
      </c>
      <c r="P78" s="48">
        <f aca="true" t="shared" si="18" ref="P78:P141">H78+J78+L78+N78</f>
        <v>0</v>
      </c>
      <c r="Q78" s="50">
        <f t="shared" si="14"/>
        <v>0</v>
      </c>
      <c r="R78" s="48">
        <f aca="true" t="shared" si="19" ref="R78:R141">L78+N78</f>
        <v>0</v>
      </c>
      <c r="S78" s="51">
        <f t="shared" si="15"/>
        <v>0</v>
      </c>
    </row>
    <row r="79" spans="1:19" ht="13.5" customHeight="1">
      <c r="A79" s="102">
        <v>66</v>
      </c>
      <c r="B79" s="103" t="s">
        <v>80</v>
      </c>
      <c r="C79" s="151">
        <v>45.746785361028685</v>
      </c>
      <c r="D79" s="44">
        <v>118</v>
      </c>
      <c r="E79" s="45">
        <f>10+2</f>
        <v>12</v>
      </c>
      <c r="F79" s="46">
        <f t="shared" si="16"/>
        <v>10.16949152542373</v>
      </c>
      <c r="G79" s="47">
        <f>9+2</f>
        <v>11</v>
      </c>
      <c r="H79" s="48">
        <v>0</v>
      </c>
      <c r="I79" s="46">
        <f t="shared" si="17"/>
        <v>0</v>
      </c>
      <c r="J79" s="48">
        <v>0</v>
      </c>
      <c r="K79" s="46">
        <f t="shared" si="17"/>
        <v>0</v>
      </c>
      <c r="L79" s="48">
        <v>0</v>
      </c>
      <c r="M79" s="46">
        <f t="shared" si="12"/>
        <v>0</v>
      </c>
      <c r="N79" s="48">
        <v>0</v>
      </c>
      <c r="O79" s="49">
        <f t="shared" si="13"/>
        <v>0</v>
      </c>
      <c r="P79" s="48">
        <f t="shared" si="18"/>
        <v>0</v>
      </c>
      <c r="Q79" s="50">
        <f t="shared" si="14"/>
        <v>0</v>
      </c>
      <c r="R79" s="48">
        <f t="shared" si="19"/>
        <v>0</v>
      </c>
      <c r="S79" s="51">
        <f t="shared" si="15"/>
        <v>0</v>
      </c>
    </row>
    <row r="80" spans="1:19" ht="13.5" customHeight="1">
      <c r="A80" s="102">
        <v>67</v>
      </c>
      <c r="B80" s="103" t="s">
        <v>81</v>
      </c>
      <c r="C80" s="151">
        <v>19.228295819935692</v>
      </c>
      <c r="D80" s="44">
        <v>298</v>
      </c>
      <c r="E80" s="45">
        <f>21+23</f>
        <v>44</v>
      </c>
      <c r="F80" s="46">
        <f t="shared" si="16"/>
        <v>14.76510067114094</v>
      </c>
      <c r="G80" s="47">
        <f>20+22</f>
        <v>42</v>
      </c>
      <c r="H80" s="48">
        <v>1</v>
      </c>
      <c r="I80" s="46">
        <f t="shared" si="17"/>
        <v>2.380952380952381</v>
      </c>
      <c r="J80" s="48">
        <v>0</v>
      </c>
      <c r="K80" s="46">
        <f t="shared" si="17"/>
        <v>0</v>
      </c>
      <c r="L80" s="48">
        <v>0</v>
      </c>
      <c r="M80" s="46">
        <f t="shared" si="12"/>
        <v>0</v>
      </c>
      <c r="N80" s="48">
        <v>0</v>
      </c>
      <c r="O80" s="49">
        <f t="shared" si="13"/>
        <v>0</v>
      </c>
      <c r="P80" s="48">
        <f t="shared" si="18"/>
        <v>1</v>
      </c>
      <c r="Q80" s="50">
        <f t="shared" si="14"/>
        <v>2.380952380952381</v>
      </c>
      <c r="R80" s="48">
        <f t="shared" si="19"/>
        <v>0</v>
      </c>
      <c r="S80" s="51">
        <f t="shared" si="15"/>
        <v>0</v>
      </c>
    </row>
    <row r="81" spans="1:19" ht="13.5" customHeight="1">
      <c r="A81" s="102">
        <v>68</v>
      </c>
      <c r="B81" s="103" t="s">
        <v>82</v>
      </c>
      <c r="C81" s="151">
        <v>48.66712235133288</v>
      </c>
      <c r="D81" s="44">
        <v>75</v>
      </c>
      <c r="E81" s="45">
        <f>16+5</f>
        <v>21</v>
      </c>
      <c r="F81" s="46">
        <f t="shared" si="16"/>
        <v>28.000000000000004</v>
      </c>
      <c r="G81" s="47">
        <f>15+5</f>
        <v>20</v>
      </c>
      <c r="H81" s="48">
        <v>0</v>
      </c>
      <c r="I81" s="46">
        <f t="shared" si="17"/>
        <v>0</v>
      </c>
      <c r="J81" s="48">
        <v>0</v>
      </c>
      <c r="K81" s="46">
        <f t="shared" si="17"/>
        <v>0</v>
      </c>
      <c r="L81" s="48">
        <v>0</v>
      </c>
      <c r="M81" s="46">
        <f t="shared" si="12"/>
        <v>0</v>
      </c>
      <c r="N81" s="48">
        <v>0</v>
      </c>
      <c r="O81" s="49">
        <f t="shared" si="13"/>
        <v>0</v>
      </c>
      <c r="P81" s="48">
        <f t="shared" si="18"/>
        <v>0</v>
      </c>
      <c r="Q81" s="50">
        <f t="shared" si="14"/>
        <v>0</v>
      </c>
      <c r="R81" s="48">
        <f t="shared" si="19"/>
        <v>0</v>
      </c>
      <c r="S81" s="51">
        <f t="shared" si="15"/>
        <v>0</v>
      </c>
    </row>
    <row r="82" spans="1:19" ht="13.5" customHeight="1">
      <c r="A82" s="102">
        <v>69</v>
      </c>
      <c r="B82" s="103" t="s">
        <v>83</v>
      </c>
      <c r="C82" s="151">
        <v>51.48357215226517</v>
      </c>
      <c r="D82" s="44">
        <v>402</v>
      </c>
      <c r="E82" s="45">
        <f>176+118</f>
        <v>294</v>
      </c>
      <c r="F82" s="46">
        <f t="shared" si="16"/>
        <v>73.13432835820896</v>
      </c>
      <c r="G82" s="47">
        <f>177+116</f>
        <v>293</v>
      </c>
      <c r="H82" s="48">
        <v>0</v>
      </c>
      <c r="I82" s="46">
        <f t="shared" si="17"/>
        <v>0</v>
      </c>
      <c r="J82" s="48">
        <v>0</v>
      </c>
      <c r="K82" s="46">
        <f t="shared" si="17"/>
        <v>0</v>
      </c>
      <c r="L82" s="48">
        <f>2+1</f>
        <v>3</v>
      </c>
      <c r="M82" s="46">
        <f t="shared" si="12"/>
        <v>1.023890784982935</v>
      </c>
      <c r="N82" s="48">
        <v>0</v>
      </c>
      <c r="O82" s="49">
        <f t="shared" si="13"/>
        <v>0</v>
      </c>
      <c r="P82" s="48">
        <f t="shared" si="18"/>
        <v>3</v>
      </c>
      <c r="Q82" s="50">
        <f t="shared" si="14"/>
        <v>1.023890784982935</v>
      </c>
      <c r="R82" s="48">
        <f t="shared" si="19"/>
        <v>3</v>
      </c>
      <c r="S82" s="51">
        <f t="shared" si="15"/>
        <v>1.023890784982935</v>
      </c>
    </row>
    <row r="83" spans="1:19" ht="13.5" customHeight="1">
      <c r="A83" s="102">
        <v>70</v>
      </c>
      <c r="B83" s="103" t="s">
        <v>84</v>
      </c>
      <c r="C83" s="151">
        <v>14.410862899693386</v>
      </c>
      <c r="D83" s="44">
        <v>204</v>
      </c>
      <c r="E83" s="45">
        <f>22+34</f>
        <v>56</v>
      </c>
      <c r="F83" s="46">
        <f t="shared" si="16"/>
        <v>27.450980392156865</v>
      </c>
      <c r="G83" s="47">
        <f>23+34</f>
        <v>57</v>
      </c>
      <c r="H83" s="48">
        <v>0</v>
      </c>
      <c r="I83" s="46">
        <f t="shared" si="17"/>
        <v>0</v>
      </c>
      <c r="J83" s="48">
        <v>0</v>
      </c>
      <c r="K83" s="46">
        <f t="shared" si="17"/>
        <v>0</v>
      </c>
      <c r="L83" s="48">
        <v>0</v>
      </c>
      <c r="M83" s="46">
        <f t="shared" si="12"/>
        <v>0</v>
      </c>
      <c r="N83" s="48">
        <v>0</v>
      </c>
      <c r="O83" s="49">
        <f t="shared" si="13"/>
        <v>0</v>
      </c>
      <c r="P83" s="48">
        <f t="shared" si="18"/>
        <v>0</v>
      </c>
      <c r="Q83" s="50">
        <f t="shared" si="14"/>
        <v>0</v>
      </c>
      <c r="R83" s="48">
        <f t="shared" si="19"/>
        <v>0</v>
      </c>
      <c r="S83" s="51">
        <f t="shared" si="15"/>
        <v>0</v>
      </c>
    </row>
    <row r="84" spans="1:19" ht="13.5" customHeight="1">
      <c r="A84" s="102">
        <v>71</v>
      </c>
      <c r="B84" s="103" t="s">
        <v>85</v>
      </c>
      <c r="C84" s="151">
        <v>28.865248226950353</v>
      </c>
      <c r="D84" s="44">
        <v>166</v>
      </c>
      <c r="E84" s="45">
        <f>24+29</f>
        <v>53</v>
      </c>
      <c r="F84" s="46">
        <f t="shared" si="16"/>
        <v>31.92771084337349</v>
      </c>
      <c r="G84" s="47">
        <f>24+30</f>
        <v>54</v>
      </c>
      <c r="H84" s="48">
        <v>0</v>
      </c>
      <c r="I84" s="46">
        <f t="shared" si="17"/>
        <v>0</v>
      </c>
      <c r="J84" s="48">
        <v>0</v>
      </c>
      <c r="K84" s="46">
        <f t="shared" si="17"/>
        <v>0</v>
      </c>
      <c r="L84" s="48">
        <v>0</v>
      </c>
      <c r="M84" s="46">
        <f t="shared" si="12"/>
        <v>0</v>
      </c>
      <c r="N84" s="48">
        <v>0</v>
      </c>
      <c r="O84" s="49">
        <f t="shared" si="13"/>
        <v>0</v>
      </c>
      <c r="P84" s="48">
        <f t="shared" si="18"/>
        <v>0</v>
      </c>
      <c r="Q84" s="50">
        <f t="shared" si="14"/>
        <v>0</v>
      </c>
      <c r="R84" s="48">
        <f t="shared" si="19"/>
        <v>0</v>
      </c>
      <c r="S84" s="51">
        <f t="shared" si="15"/>
        <v>0</v>
      </c>
    </row>
    <row r="85" spans="1:19" ht="13.5" customHeight="1">
      <c r="A85" s="102">
        <v>72</v>
      </c>
      <c r="B85" s="103" t="s">
        <v>86</v>
      </c>
      <c r="C85" s="151">
        <v>23.855553529089914</v>
      </c>
      <c r="D85" s="44">
        <v>370</v>
      </c>
      <c r="E85" s="45">
        <f>99+25</f>
        <v>124</v>
      </c>
      <c r="F85" s="46">
        <f t="shared" si="16"/>
        <v>33.513513513513516</v>
      </c>
      <c r="G85" s="47">
        <f>93+29</f>
        <v>122</v>
      </c>
      <c r="H85" s="48">
        <v>1</v>
      </c>
      <c r="I85" s="46">
        <f t="shared" si="17"/>
        <v>0.819672131147541</v>
      </c>
      <c r="J85" s="48">
        <v>0</v>
      </c>
      <c r="K85" s="46">
        <f t="shared" si="17"/>
        <v>0</v>
      </c>
      <c r="L85" s="48">
        <v>0</v>
      </c>
      <c r="M85" s="46">
        <f t="shared" si="12"/>
        <v>0</v>
      </c>
      <c r="N85" s="48">
        <v>0</v>
      </c>
      <c r="O85" s="49">
        <f t="shared" si="13"/>
        <v>0</v>
      </c>
      <c r="P85" s="48">
        <f t="shared" si="18"/>
        <v>1</v>
      </c>
      <c r="Q85" s="50">
        <f t="shared" si="14"/>
        <v>0.819672131147541</v>
      </c>
      <c r="R85" s="48">
        <f t="shared" si="19"/>
        <v>0</v>
      </c>
      <c r="S85" s="51">
        <f t="shared" si="15"/>
        <v>0</v>
      </c>
    </row>
    <row r="86" spans="1:19" ht="13.5" customHeight="1">
      <c r="A86" s="102">
        <v>73</v>
      </c>
      <c r="B86" s="103" t="s">
        <v>87</v>
      </c>
      <c r="C86" s="151">
        <v>35.82853486884197</v>
      </c>
      <c r="D86" s="44">
        <v>109</v>
      </c>
      <c r="E86" s="45">
        <f>21+28</f>
        <v>49</v>
      </c>
      <c r="F86" s="46">
        <f t="shared" si="16"/>
        <v>44.95412844036697</v>
      </c>
      <c r="G86" s="47">
        <f>24+28</f>
        <v>52</v>
      </c>
      <c r="H86" s="48">
        <v>0</v>
      </c>
      <c r="I86" s="46">
        <f t="shared" si="17"/>
        <v>0</v>
      </c>
      <c r="J86" s="48">
        <v>0</v>
      </c>
      <c r="K86" s="46">
        <f t="shared" si="17"/>
        <v>0</v>
      </c>
      <c r="L86" s="48">
        <v>0</v>
      </c>
      <c r="M86" s="46">
        <f t="shared" si="12"/>
        <v>0</v>
      </c>
      <c r="N86" s="48">
        <v>0</v>
      </c>
      <c r="O86" s="49">
        <f t="shared" si="13"/>
        <v>0</v>
      </c>
      <c r="P86" s="48">
        <f t="shared" si="18"/>
        <v>0</v>
      </c>
      <c r="Q86" s="50">
        <f t="shared" si="14"/>
        <v>0</v>
      </c>
      <c r="R86" s="48">
        <f t="shared" si="19"/>
        <v>0</v>
      </c>
      <c r="S86" s="51">
        <f t="shared" si="15"/>
        <v>0</v>
      </c>
    </row>
    <row r="87" spans="1:19" ht="13.5" customHeight="1">
      <c r="A87" s="102">
        <v>74</v>
      </c>
      <c r="B87" s="103" t="s">
        <v>88</v>
      </c>
      <c r="C87" s="151">
        <v>49.29732708735189</v>
      </c>
      <c r="D87" s="44">
        <v>153</v>
      </c>
      <c r="E87" s="45">
        <f>12+7</f>
        <v>19</v>
      </c>
      <c r="F87" s="46">
        <f t="shared" si="16"/>
        <v>12.418300653594772</v>
      </c>
      <c r="G87" s="47">
        <f>12+7</f>
        <v>19</v>
      </c>
      <c r="H87" s="48">
        <v>0</v>
      </c>
      <c r="I87" s="46">
        <f t="shared" si="17"/>
        <v>0</v>
      </c>
      <c r="J87" s="48">
        <v>0</v>
      </c>
      <c r="K87" s="46">
        <f t="shared" si="17"/>
        <v>0</v>
      </c>
      <c r="L87" s="48">
        <v>0</v>
      </c>
      <c r="M87" s="46">
        <f t="shared" si="12"/>
        <v>0</v>
      </c>
      <c r="N87" s="48">
        <v>0</v>
      </c>
      <c r="O87" s="49">
        <f t="shared" si="13"/>
        <v>0</v>
      </c>
      <c r="P87" s="48">
        <f t="shared" si="18"/>
        <v>0</v>
      </c>
      <c r="Q87" s="50">
        <f t="shared" si="14"/>
        <v>0</v>
      </c>
      <c r="R87" s="48">
        <f t="shared" si="19"/>
        <v>0</v>
      </c>
      <c r="S87" s="51">
        <f t="shared" si="15"/>
        <v>0</v>
      </c>
    </row>
    <row r="88" spans="1:19" ht="13.5" customHeight="1">
      <c r="A88" s="102">
        <v>75</v>
      </c>
      <c r="B88" s="103" t="s">
        <v>89</v>
      </c>
      <c r="C88" s="151">
        <v>52.17391304347826</v>
      </c>
      <c r="D88" s="44">
        <v>30</v>
      </c>
      <c r="E88" s="45">
        <f>15+6</f>
        <v>21</v>
      </c>
      <c r="F88" s="46">
        <f t="shared" si="16"/>
        <v>70</v>
      </c>
      <c r="G88" s="47">
        <f>14+6</f>
        <v>20</v>
      </c>
      <c r="H88" s="48">
        <v>0</v>
      </c>
      <c r="I88" s="46">
        <f t="shared" si="17"/>
        <v>0</v>
      </c>
      <c r="J88" s="48">
        <v>0</v>
      </c>
      <c r="K88" s="46">
        <f t="shared" si="17"/>
        <v>0</v>
      </c>
      <c r="L88" s="48">
        <v>0</v>
      </c>
      <c r="M88" s="46">
        <f t="shared" si="12"/>
        <v>0</v>
      </c>
      <c r="N88" s="48">
        <v>0</v>
      </c>
      <c r="O88" s="49">
        <f t="shared" si="13"/>
        <v>0</v>
      </c>
      <c r="P88" s="48">
        <f t="shared" si="18"/>
        <v>0</v>
      </c>
      <c r="Q88" s="50">
        <f t="shared" si="14"/>
        <v>0</v>
      </c>
      <c r="R88" s="48">
        <f t="shared" si="19"/>
        <v>0</v>
      </c>
      <c r="S88" s="51">
        <f t="shared" si="15"/>
        <v>0</v>
      </c>
    </row>
    <row r="89" spans="1:19" ht="13.5" customHeight="1">
      <c r="A89" s="102">
        <v>76</v>
      </c>
      <c r="B89" s="103" t="s">
        <v>90</v>
      </c>
      <c r="C89" s="151">
        <v>27.83644733279177</v>
      </c>
      <c r="D89" s="44">
        <v>454</v>
      </c>
      <c r="E89" s="45">
        <f>50+94</f>
        <v>144</v>
      </c>
      <c r="F89" s="46">
        <f t="shared" si="16"/>
        <v>31.718061674008812</v>
      </c>
      <c r="G89" s="47">
        <f>51+94</f>
        <v>145</v>
      </c>
      <c r="H89" s="48">
        <v>0</v>
      </c>
      <c r="I89" s="46">
        <f t="shared" si="17"/>
        <v>0</v>
      </c>
      <c r="J89" s="48">
        <v>0</v>
      </c>
      <c r="K89" s="46">
        <f t="shared" si="17"/>
        <v>0</v>
      </c>
      <c r="L89" s="48">
        <v>1</v>
      </c>
      <c r="M89" s="46">
        <f t="shared" si="12"/>
        <v>0.6896551724137931</v>
      </c>
      <c r="N89" s="48">
        <v>0</v>
      </c>
      <c r="O89" s="49">
        <f t="shared" si="13"/>
        <v>0</v>
      </c>
      <c r="P89" s="48">
        <f t="shared" si="18"/>
        <v>1</v>
      </c>
      <c r="Q89" s="50">
        <f t="shared" si="14"/>
        <v>0.6896551724137931</v>
      </c>
      <c r="R89" s="48">
        <f t="shared" si="19"/>
        <v>1</v>
      </c>
      <c r="S89" s="51">
        <f t="shared" si="15"/>
        <v>0.6896551724137931</v>
      </c>
    </row>
    <row r="90" spans="1:19" ht="13.5" customHeight="1">
      <c r="A90" s="102">
        <v>77</v>
      </c>
      <c r="B90" s="103" t="s">
        <v>91</v>
      </c>
      <c r="C90" s="151">
        <v>52.73334432717678</v>
      </c>
      <c r="D90" s="44">
        <v>1357</v>
      </c>
      <c r="E90" s="45">
        <f>146+103</f>
        <v>249</v>
      </c>
      <c r="F90" s="46">
        <f t="shared" si="16"/>
        <v>18.34929992630803</v>
      </c>
      <c r="G90" s="47">
        <f>144+102</f>
        <v>246</v>
      </c>
      <c r="H90" s="48">
        <v>4</v>
      </c>
      <c r="I90" s="46">
        <f t="shared" si="17"/>
        <v>1.6260162601626018</v>
      </c>
      <c r="J90" s="48">
        <f>2+1</f>
        <v>3</v>
      </c>
      <c r="K90" s="46">
        <f t="shared" si="17"/>
        <v>1.2195121951219512</v>
      </c>
      <c r="L90" s="48">
        <v>2</v>
      </c>
      <c r="M90" s="46">
        <f t="shared" si="12"/>
        <v>0.8130081300813009</v>
      </c>
      <c r="N90" s="48">
        <v>0</v>
      </c>
      <c r="O90" s="49">
        <f t="shared" si="13"/>
        <v>0</v>
      </c>
      <c r="P90" s="48">
        <f t="shared" si="18"/>
        <v>9</v>
      </c>
      <c r="Q90" s="50">
        <f t="shared" si="14"/>
        <v>3.6585365853658534</v>
      </c>
      <c r="R90" s="48">
        <f t="shared" si="19"/>
        <v>2</v>
      </c>
      <c r="S90" s="51">
        <f t="shared" si="15"/>
        <v>0.8130081300813009</v>
      </c>
    </row>
    <row r="91" spans="1:19" ht="13.5" customHeight="1">
      <c r="A91" s="102">
        <v>78</v>
      </c>
      <c r="B91" s="103" t="s">
        <v>92</v>
      </c>
      <c r="C91" s="151">
        <v>34.92063492063492</v>
      </c>
      <c r="D91" s="44">
        <v>226</v>
      </c>
      <c r="E91" s="45">
        <f>23+15</f>
        <v>38</v>
      </c>
      <c r="F91" s="46">
        <f t="shared" si="16"/>
        <v>16.8141592920354</v>
      </c>
      <c r="G91" s="47">
        <f>23+15</f>
        <v>38</v>
      </c>
      <c r="H91" s="48">
        <v>0</v>
      </c>
      <c r="I91" s="46">
        <f t="shared" si="17"/>
        <v>0</v>
      </c>
      <c r="J91" s="48">
        <v>0</v>
      </c>
      <c r="K91" s="46">
        <f t="shared" si="17"/>
        <v>0</v>
      </c>
      <c r="L91" s="48">
        <v>0</v>
      </c>
      <c r="M91" s="46">
        <f t="shared" si="12"/>
        <v>0</v>
      </c>
      <c r="N91" s="48">
        <v>0</v>
      </c>
      <c r="O91" s="49">
        <f t="shared" si="13"/>
        <v>0</v>
      </c>
      <c r="P91" s="48">
        <f t="shared" si="18"/>
        <v>0</v>
      </c>
      <c r="Q91" s="50">
        <f t="shared" si="14"/>
        <v>0</v>
      </c>
      <c r="R91" s="48">
        <f t="shared" si="19"/>
        <v>0</v>
      </c>
      <c r="S91" s="51">
        <f t="shared" si="15"/>
        <v>0</v>
      </c>
    </row>
    <row r="92" spans="1:19" ht="13.5" customHeight="1">
      <c r="A92" s="102">
        <v>79</v>
      </c>
      <c r="B92" s="103" t="s">
        <v>93</v>
      </c>
      <c r="C92" s="151">
        <v>25.036460865337872</v>
      </c>
      <c r="D92" s="44">
        <v>143</v>
      </c>
      <c r="E92" s="45">
        <f>14+10</f>
        <v>24</v>
      </c>
      <c r="F92" s="46">
        <f t="shared" si="16"/>
        <v>16.783216783216783</v>
      </c>
      <c r="G92" s="47">
        <f>14+10</f>
        <v>24</v>
      </c>
      <c r="H92" s="48">
        <v>0</v>
      </c>
      <c r="I92" s="46">
        <f t="shared" si="17"/>
        <v>0</v>
      </c>
      <c r="J92" s="48">
        <v>0</v>
      </c>
      <c r="K92" s="46">
        <f t="shared" si="17"/>
        <v>0</v>
      </c>
      <c r="L92" s="48">
        <v>0</v>
      </c>
      <c r="M92" s="46">
        <f t="shared" si="12"/>
        <v>0</v>
      </c>
      <c r="N92" s="48">
        <v>0</v>
      </c>
      <c r="O92" s="49">
        <f t="shared" si="13"/>
        <v>0</v>
      </c>
      <c r="P92" s="48">
        <f t="shared" si="18"/>
        <v>0</v>
      </c>
      <c r="Q92" s="50">
        <f t="shared" si="14"/>
        <v>0</v>
      </c>
      <c r="R92" s="48">
        <f t="shared" si="19"/>
        <v>0</v>
      </c>
      <c r="S92" s="51">
        <f t="shared" si="15"/>
        <v>0</v>
      </c>
    </row>
    <row r="93" spans="1:19" ht="13.5" customHeight="1">
      <c r="A93" s="102">
        <v>80</v>
      </c>
      <c r="B93" s="103" t="s">
        <v>94</v>
      </c>
      <c r="C93" s="151">
        <v>52.746538914376195</v>
      </c>
      <c r="D93" s="44">
        <v>1685</v>
      </c>
      <c r="E93" s="45">
        <f>588+407</f>
        <v>995</v>
      </c>
      <c r="F93" s="46">
        <f t="shared" si="16"/>
        <v>59.05044510385756</v>
      </c>
      <c r="G93" s="47">
        <f>561+411</f>
        <v>972</v>
      </c>
      <c r="H93" s="48">
        <f>4+10</f>
        <v>14</v>
      </c>
      <c r="I93" s="46">
        <f t="shared" si="17"/>
        <v>1.440329218106996</v>
      </c>
      <c r="J93" s="48">
        <f>2+1</f>
        <v>3</v>
      </c>
      <c r="K93" s="46">
        <f t="shared" si="17"/>
        <v>0.30864197530864196</v>
      </c>
      <c r="L93" s="48">
        <f>2+1</f>
        <v>3</v>
      </c>
      <c r="M93" s="46">
        <f t="shared" si="12"/>
        <v>0.30864197530864196</v>
      </c>
      <c r="N93" s="48">
        <v>1</v>
      </c>
      <c r="O93" s="49">
        <f t="shared" si="13"/>
        <v>0.102880658436214</v>
      </c>
      <c r="P93" s="48">
        <f t="shared" si="18"/>
        <v>21</v>
      </c>
      <c r="Q93" s="50">
        <f t="shared" si="14"/>
        <v>2.1604938271604937</v>
      </c>
      <c r="R93" s="48">
        <f t="shared" si="19"/>
        <v>4</v>
      </c>
      <c r="S93" s="51">
        <f t="shared" si="15"/>
        <v>0.411522633744856</v>
      </c>
    </row>
    <row r="94" spans="1:19" ht="13.5" customHeight="1">
      <c r="A94" s="102">
        <v>81</v>
      </c>
      <c r="B94" s="103" t="s">
        <v>95</v>
      </c>
      <c r="C94" s="151">
        <v>49.38759383642829</v>
      </c>
      <c r="D94" s="44">
        <v>141</v>
      </c>
      <c r="E94" s="45">
        <f>42+22</f>
        <v>64</v>
      </c>
      <c r="F94" s="46">
        <f t="shared" si="16"/>
        <v>45.39007092198582</v>
      </c>
      <c r="G94" s="47">
        <f>42+22</f>
        <v>64</v>
      </c>
      <c r="H94" s="48">
        <v>0</v>
      </c>
      <c r="I94" s="46">
        <f t="shared" si="17"/>
        <v>0</v>
      </c>
      <c r="J94" s="48">
        <v>0</v>
      </c>
      <c r="K94" s="46">
        <f t="shared" si="17"/>
        <v>0</v>
      </c>
      <c r="L94" s="48">
        <v>0</v>
      </c>
      <c r="M94" s="46">
        <f t="shared" si="12"/>
        <v>0</v>
      </c>
      <c r="N94" s="48">
        <v>0</v>
      </c>
      <c r="O94" s="49">
        <f t="shared" si="13"/>
        <v>0</v>
      </c>
      <c r="P94" s="48">
        <f t="shared" si="18"/>
        <v>0</v>
      </c>
      <c r="Q94" s="50">
        <f t="shared" si="14"/>
        <v>0</v>
      </c>
      <c r="R94" s="48">
        <f t="shared" si="19"/>
        <v>0</v>
      </c>
      <c r="S94" s="51">
        <f t="shared" si="15"/>
        <v>0</v>
      </c>
    </row>
    <row r="95" spans="1:19" ht="13.5" customHeight="1">
      <c r="A95" s="102">
        <v>82</v>
      </c>
      <c r="B95" s="103" t="s">
        <v>96</v>
      </c>
      <c r="C95" s="151">
        <v>50</v>
      </c>
      <c r="D95" s="44">
        <v>87</v>
      </c>
      <c r="E95" s="45">
        <f>11+21</f>
        <v>32</v>
      </c>
      <c r="F95" s="46">
        <f t="shared" si="16"/>
        <v>36.7816091954023</v>
      </c>
      <c r="G95" s="47">
        <f>11+21</f>
        <v>32</v>
      </c>
      <c r="H95" s="48">
        <v>0</v>
      </c>
      <c r="I95" s="46">
        <f t="shared" si="17"/>
        <v>0</v>
      </c>
      <c r="J95" s="48">
        <v>0</v>
      </c>
      <c r="K95" s="46">
        <f t="shared" si="17"/>
        <v>0</v>
      </c>
      <c r="L95" s="48">
        <v>0</v>
      </c>
      <c r="M95" s="46">
        <f t="shared" si="12"/>
        <v>0</v>
      </c>
      <c r="N95" s="48">
        <v>0</v>
      </c>
      <c r="O95" s="49">
        <f t="shared" si="13"/>
        <v>0</v>
      </c>
      <c r="P95" s="48">
        <f t="shared" si="18"/>
        <v>0</v>
      </c>
      <c r="Q95" s="50">
        <f t="shared" si="14"/>
        <v>0</v>
      </c>
      <c r="R95" s="48">
        <f t="shared" si="19"/>
        <v>0</v>
      </c>
      <c r="S95" s="51">
        <f t="shared" si="15"/>
        <v>0</v>
      </c>
    </row>
    <row r="96" spans="1:19" ht="13.5" customHeight="1">
      <c r="A96" s="102">
        <v>83</v>
      </c>
      <c r="B96" s="103" t="s">
        <v>97</v>
      </c>
      <c r="C96" s="151">
        <v>39.813169518200745</v>
      </c>
      <c r="D96" s="44">
        <v>1123</v>
      </c>
      <c r="E96" s="45">
        <f>168+237</f>
        <v>405</v>
      </c>
      <c r="F96" s="46">
        <f t="shared" si="16"/>
        <v>36.064113980409616</v>
      </c>
      <c r="G96" s="47">
        <f>172+238</f>
        <v>410</v>
      </c>
      <c r="H96" s="48">
        <v>0</v>
      </c>
      <c r="I96" s="46">
        <f t="shared" si="17"/>
        <v>0</v>
      </c>
      <c r="J96" s="48">
        <v>0</v>
      </c>
      <c r="K96" s="46">
        <f t="shared" si="17"/>
        <v>0</v>
      </c>
      <c r="L96" s="48">
        <f>1+1</f>
        <v>2</v>
      </c>
      <c r="M96" s="46">
        <f t="shared" si="12"/>
        <v>0.4878048780487805</v>
      </c>
      <c r="N96" s="48">
        <v>0</v>
      </c>
      <c r="O96" s="49">
        <f t="shared" si="13"/>
        <v>0</v>
      </c>
      <c r="P96" s="48">
        <f t="shared" si="18"/>
        <v>2</v>
      </c>
      <c r="Q96" s="50">
        <f t="shared" si="14"/>
        <v>0.4878048780487805</v>
      </c>
      <c r="R96" s="48">
        <f t="shared" si="19"/>
        <v>2</v>
      </c>
      <c r="S96" s="51">
        <f t="shared" si="15"/>
        <v>0.4878048780487805</v>
      </c>
    </row>
    <row r="97" spans="1:19" ht="13.5" customHeight="1">
      <c r="A97" s="102">
        <v>84</v>
      </c>
      <c r="B97" s="103" t="s">
        <v>98</v>
      </c>
      <c r="C97" s="151">
        <v>51.666514889354346</v>
      </c>
      <c r="D97" s="44">
        <v>1203</v>
      </c>
      <c r="E97" s="45">
        <f>328+217</f>
        <v>545</v>
      </c>
      <c r="F97" s="46">
        <f t="shared" si="16"/>
        <v>45.30340814630092</v>
      </c>
      <c r="G97" s="47">
        <f>325+220</f>
        <v>545</v>
      </c>
      <c r="H97" s="48">
        <f>2+1</f>
        <v>3</v>
      </c>
      <c r="I97" s="46">
        <f t="shared" si="17"/>
        <v>0.5504587155963303</v>
      </c>
      <c r="J97" s="48">
        <v>0</v>
      </c>
      <c r="K97" s="46">
        <f t="shared" si="17"/>
        <v>0</v>
      </c>
      <c r="L97" s="48">
        <v>0</v>
      </c>
      <c r="M97" s="46">
        <f t="shared" si="12"/>
        <v>0</v>
      </c>
      <c r="N97" s="48">
        <v>0</v>
      </c>
      <c r="O97" s="49">
        <f t="shared" si="13"/>
        <v>0</v>
      </c>
      <c r="P97" s="48">
        <f t="shared" si="18"/>
        <v>3</v>
      </c>
      <c r="Q97" s="50">
        <f t="shared" si="14"/>
        <v>0.5504587155963303</v>
      </c>
      <c r="R97" s="48">
        <f t="shared" si="19"/>
        <v>0</v>
      </c>
      <c r="S97" s="51">
        <f t="shared" si="15"/>
        <v>0</v>
      </c>
    </row>
    <row r="98" spans="1:19" ht="13.5" customHeight="1">
      <c r="A98" s="102">
        <v>85</v>
      </c>
      <c r="B98" s="103" t="s">
        <v>99</v>
      </c>
      <c r="C98" s="151">
        <v>27.1474019088017</v>
      </c>
      <c r="D98" s="44">
        <v>545</v>
      </c>
      <c r="E98" s="45">
        <f>147+124</f>
        <v>271</v>
      </c>
      <c r="F98" s="46">
        <f t="shared" si="16"/>
        <v>49.72477064220184</v>
      </c>
      <c r="G98" s="47">
        <f>141+128</f>
        <v>269</v>
      </c>
      <c r="H98" s="48">
        <v>0</v>
      </c>
      <c r="I98" s="46">
        <f t="shared" si="17"/>
        <v>0</v>
      </c>
      <c r="J98" s="48">
        <v>0</v>
      </c>
      <c r="K98" s="46">
        <f t="shared" si="17"/>
        <v>0</v>
      </c>
      <c r="L98" s="48">
        <v>0</v>
      </c>
      <c r="M98" s="46">
        <f t="shared" si="12"/>
        <v>0</v>
      </c>
      <c r="N98" s="48">
        <v>0</v>
      </c>
      <c r="O98" s="49">
        <f t="shared" si="13"/>
        <v>0</v>
      </c>
      <c r="P98" s="48">
        <f t="shared" si="18"/>
        <v>0</v>
      </c>
      <c r="Q98" s="50">
        <f t="shared" si="14"/>
        <v>0</v>
      </c>
      <c r="R98" s="48">
        <f t="shared" si="19"/>
        <v>0</v>
      </c>
      <c r="S98" s="51">
        <f t="shared" si="15"/>
        <v>0</v>
      </c>
    </row>
    <row r="99" spans="1:19" ht="13.5" customHeight="1">
      <c r="A99" s="102">
        <v>86</v>
      </c>
      <c r="B99" s="103" t="s">
        <v>100</v>
      </c>
      <c r="C99" s="151">
        <v>30.46289493019838</v>
      </c>
      <c r="D99" s="44">
        <v>395</v>
      </c>
      <c r="E99" s="45">
        <f>102+92</f>
        <v>194</v>
      </c>
      <c r="F99" s="46">
        <f t="shared" si="16"/>
        <v>49.11392405063291</v>
      </c>
      <c r="G99" s="47">
        <f>105+95</f>
        <v>200</v>
      </c>
      <c r="H99" s="48">
        <v>0</v>
      </c>
      <c r="I99" s="46">
        <f t="shared" si="17"/>
        <v>0</v>
      </c>
      <c r="J99" s="48">
        <v>0</v>
      </c>
      <c r="K99" s="46">
        <f t="shared" si="17"/>
        <v>0</v>
      </c>
      <c r="L99" s="48">
        <v>0</v>
      </c>
      <c r="M99" s="46">
        <f t="shared" si="12"/>
        <v>0</v>
      </c>
      <c r="N99" s="48">
        <v>0</v>
      </c>
      <c r="O99" s="49">
        <f t="shared" si="13"/>
        <v>0</v>
      </c>
      <c r="P99" s="48">
        <f t="shared" si="18"/>
        <v>0</v>
      </c>
      <c r="Q99" s="50">
        <f t="shared" si="14"/>
        <v>0</v>
      </c>
      <c r="R99" s="48">
        <f t="shared" si="19"/>
        <v>0</v>
      </c>
      <c r="S99" s="51">
        <f t="shared" si="15"/>
        <v>0</v>
      </c>
    </row>
    <row r="100" spans="1:19" ht="13.5" customHeight="1">
      <c r="A100" s="102">
        <v>87</v>
      </c>
      <c r="B100" s="103" t="s">
        <v>101</v>
      </c>
      <c r="C100" s="151">
        <v>50.12701100762066</v>
      </c>
      <c r="D100" s="44">
        <v>49</v>
      </c>
      <c r="E100" s="45">
        <f>10+2</f>
        <v>12</v>
      </c>
      <c r="F100" s="46">
        <f t="shared" si="16"/>
        <v>24.489795918367346</v>
      </c>
      <c r="G100" s="47">
        <f>10+2</f>
        <v>12</v>
      </c>
      <c r="H100" s="48">
        <v>0</v>
      </c>
      <c r="I100" s="46">
        <f t="shared" si="17"/>
        <v>0</v>
      </c>
      <c r="J100" s="48">
        <v>0</v>
      </c>
      <c r="K100" s="46">
        <f t="shared" si="17"/>
        <v>0</v>
      </c>
      <c r="L100" s="48">
        <v>0</v>
      </c>
      <c r="M100" s="46">
        <f t="shared" si="12"/>
        <v>0</v>
      </c>
      <c r="N100" s="48">
        <v>0</v>
      </c>
      <c r="O100" s="49">
        <f t="shared" si="13"/>
        <v>0</v>
      </c>
      <c r="P100" s="48">
        <f t="shared" si="18"/>
        <v>0</v>
      </c>
      <c r="Q100" s="50">
        <f t="shared" si="14"/>
        <v>0</v>
      </c>
      <c r="R100" s="48">
        <f t="shared" si="19"/>
        <v>0</v>
      </c>
      <c r="S100" s="51">
        <f t="shared" si="15"/>
        <v>0</v>
      </c>
    </row>
    <row r="101" spans="1:19" ht="13.5" customHeight="1">
      <c r="A101" s="102">
        <v>88</v>
      </c>
      <c r="B101" s="103" t="s">
        <v>102</v>
      </c>
      <c r="C101" s="151">
        <v>45.52305323717689</v>
      </c>
      <c r="D101" s="44">
        <v>839</v>
      </c>
      <c r="E101" s="45">
        <f>161+103</f>
        <v>264</v>
      </c>
      <c r="F101" s="46">
        <f t="shared" si="16"/>
        <v>31.46603098927294</v>
      </c>
      <c r="G101" s="47">
        <f>160+106</f>
        <v>266</v>
      </c>
      <c r="H101" s="48">
        <f>2+1</f>
        <v>3</v>
      </c>
      <c r="I101" s="46">
        <f t="shared" si="17"/>
        <v>1.1278195488721803</v>
      </c>
      <c r="J101" s="48">
        <v>1</v>
      </c>
      <c r="K101" s="46">
        <f t="shared" si="17"/>
        <v>0.37593984962406013</v>
      </c>
      <c r="L101" s="48">
        <v>0</v>
      </c>
      <c r="M101" s="46">
        <f t="shared" si="12"/>
        <v>0</v>
      </c>
      <c r="N101" s="48">
        <v>0</v>
      </c>
      <c r="O101" s="49">
        <f t="shared" si="13"/>
        <v>0</v>
      </c>
      <c r="P101" s="48">
        <f t="shared" si="18"/>
        <v>4</v>
      </c>
      <c r="Q101" s="50">
        <f t="shared" si="14"/>
        <v>1.5037593984962405</v>
      </c>
      <c r="R101" s="48">
        <f t="shared" si="19"/>
        <v>0</v>
      </c>
      <c r="S101" s="51">
        <f t="shared" si="15"/>
        <v>0</v>
      </c>
    </row>
    <row r="102" spans="1:19" ht="13.5" customHeight="1">
      <c r="A102" s="102">
        <v>89</v>
      </c>
      <c r="B102" s="103" t="s">
        <v>103</v>
      </c>
      <c r="C102" s="151">
        <v>66.62816069824156</v>
      </c>
      <c r="D102" s="44">
        <v>1921</v>
      </c>
      <c r="E102" s="45">
        <f>549+465</f>
        <v>1014</v>
      </c>
      <c r="F102" s="46">
        <f t="shared" si="16"/>
        <v>52.78500780843311</v>
      </c>
      <c r="G102" s="47">
        <f>546+474</f>
        <v>1020</v>
      </c>
      <c r="H102" s="48">
        <f>9+10</f>
        <v>19</v>
      </c>
      <c r="I102" s="46">
        <f t="shared" si="17"/>
        <v>1.8627450980392157</v>
      </c>
      <c r="J102" s="48">
        <f>4+5</f>
        <v>9</v>
      </c>
      <c r="K102" s="46">
        <f t="shared" si="17"/>
        <v>0.8823529411764706</v>
      </c>
      <c r="L102" s="48">
        <f>2+4</f>
        <v>6</v>
      </c>
      <c r="M102" s="46">
        <f t="shared" si="12"/>
        <v>0.5882352941176471</v>
      </c>
      <c r="N102" s="48">
        <v>1</v>
      </c>
      <c r="O102" s="49">
        <f t="shared" si="13"/>
        <v>0.09803921568627451</v>
      </c>
      <c r="P102" s="48">
        <f t="shared" si="18"/>
        <v>35</v>
      </c>
      <c r="Q102" s="50">
        <f t="shared" si="14"/>
        <v>3.431372549019608</v>
      </c>
      <c r="R102" s="48">
        <f t="shared" si="19"/>
        <v>7</v>
      </c>
      <c r="S102" s="51">
        <f t="shared" si="15"/>
        <v>0.6862745098039216</v>
      </c>
    </row>
    <row r="103" spans="1:19" ht="13.5" customHeight="1">
      <c r="A103" s="102">
        <v>90</v>
      </c>
      <c r="B103" s="103" t="s">
        <v>104</v>
      </c>
      <c r="C103" s="151">
        <v>49.2087942865145</v>
      </c>
      <c r="D103" s="44">
        <v>557</v>
      </c>
      <c r="E103" s="45">
        <f>108+131</f>
        <v>239</v>
      </c>
      <c r="F103" s="46">
        <f t="shared" si="16"/>
        <v>42.908438061041295</v>
      </c>
      <c r="G103" s="47">
        <f>108+132</f>
        <v>240</v>
      </c>
      <c r="H103" s="48">
        <v>0</v>
      </c>
      <c r="I103" s="46">
        <f t="shared" si="17"/>
        <v>0</v>
      </c>
      <c r="J103" s="48">
        <v>0</v>
      </c>
      <c r="K103" s="46">
        <f t="shared" si="17"/>
        <v>0</v>
      </c>
      <c r="L103" s="48">
        <v>0</v>
      </c>
      <c r="M103" s="46">
        <f t="shared" si="12"/>
        <v>0</v>
      </c>
      <c r="N103" s="48">
        <v>0</v>
      </c>
      <c r="O103" s="49">
        <f t="shared" si="13"/>
        <v>0</v>
      </c>
      <c r="P103" s="48">
        <f t="shared" si="18"/>
        <v>0</v>
      </c>
      <c r="Q103" s="50">
        <f t="shared" si="14"/>
        <v>0</v>
      </c>
      <c r="R103" s="48">
        <f t="shared" si="19"/>
        <v>0</v>
      </c>
      <c r="S103" s="51">
        <f t="shared" si="15"/>
        <v>0</v>
      </c>
    </row>
    <row r="104" spans="1:19" ht="13.5" customHeight="1">
      <c r="A104" s="102">
        <v>91</v>
      </c>
      <c r="B104" s="103" t="s">
        <v>105</v>
      </c>
      <c r="C104" s="151">
        <v>32.73115773115773</v>
      </c>
      <c r="D104" s="44">
        <v>448</v>
      </c>
      <c r="E104" s="45">
        <f>44+69</f>
        <v>113</v>
      </c>
      <c r="F104" s="46">
        <f t="shared" si="16"/>
        <v>25.223214285714285</v>
      </c>
      <c r="G104" s="47">
        <f>45+69</f>
        <v>114</v>
      </c>
      <c r="H104" s="48">
        <v>0</v>
      </c>
      <c r="I104" s="46">
        <f t="shared" si="17"/>
        <v>0</v>
      </c>
      <c r="J104" s="48">
        <v>0</v>
      </c>
      <c r="K104" s="46">
        <f t="shared" si="17"/>
        <v>0</v>
      </c>
      <c r="L104" s="48">
        <v>0</v>
      </c>
      <c r="M104" s="46">
        <f t="shared" si="12"/>
        <v>0</v>
      </c>
      <c r="N104" s="48">
        <v>0</v>
      </c>
      <c r="O104" s="49">
        <f t="shared" si="13"/>
        <v>0</v>
      </c>
      <c r="P104" s="48">
        <f t="shared" si="18"/>
        <v>0</v>
      </c>
      <c r="Q104" s="50">
        <f t="shared" si="14"/>
        <v>0</v>
      </c>
      <c r="R104" s="48">
        <f t="shared" si="19"/>
        <v>0</v>
      </c>
      <c r="S104" s="51">
        <f t="shared" si="15"/>
        <v>0</v>
      </c>
    </row>
    <row r="105" spans="1:19" ht="13.5" customHeight="1">
      <c r="A105" s="102">
        <v>92</v>
      </c>
      <c r="B105" s="103" t="s">
        <v>106</v>
      </c>
      <c r="C105" s="151">
        <v>33.6570945945946</v>
      </c>
      <c r="D105" s="44">
        <v>164</v>
      </c>
      <c r="E105" s="45">
        <f>14+6</f>
        <v>20</v>
      </c>
      <c r="F105" s="46">
        <f t="shared" si="16"/>
        <v>12.195121951219512</v>
      </c>
      <c r="G105" s="47">
        <f>14+6</f>
        <v>20</v>
      </c>
      <c r="H105" s="48">
        <v>0</v>
      </c>
      <c r="I105" s="46">
        <f t="shared" si="17"/>
        <v>0</v>
      </c>
      <c r="J105" s="48">
        <v>0</v>
      </c>
      <c r="K105" s="46">
        <f t="shared" si="17"/>
        <v>0</v>
      </c>
      <c r="L105" s="48">
        <v>0</v>
      </c>
      <c r="M105" s="46">
        <f t="shared" si="12"/>
        <v>0</v>
      </c>
      <c r="N105" s="48">
        <v>0</v>
      </c>
      <c r="O105" s="49">
        <f t="shared" si="13"/>
        <v>0</v>
      </c>
      <c r="P105" s="48">
        <f t="shared" si="18"/>
        <v>0</v>
      </c>
      <c r="Q105" s="50">
        <f t="shared" si="14"/>
        <v>0</v>
      </c>
      <c r="R105" s="48">
        <f t="shared" si="19"/>
        <v>0</v>
      </c>
      <c r="S105" s="51">
        <f t="shared" si="15"/>
        <v>0</v>
      </c>
    </row>
    <row r="106" spans="1:19" ht="13.5" customHeight="1">
      <c r="A106" s="102">
        <v>93</v>
      </c>
      <c r="B106" s="103" t="s">
        <v>107</v>
      </c>
      <c r="C106" s="151">
        <v>61.946317598836444</v>
      </c>
      <c r="D106" s="44">
        <v>3536</v>
      </c>
      <c r="E106" s="45">
        <f>1527+928</f>
        <v>2455</v>
      </c>
      <c r="F106" s="46">
        <f t="shared" si="16"/>
        <v>69.4287330316742</v>
      </c>
      <c r="G106" s="47">
        <f>1487+1021</f>
        <v>2508</v>
      </c>
      <c r="H106" s="48">
        <f>45+63</f>
        <v>108</v>
      </c>
      <c r="I106" s="46">
        <f t="shared" si="17"/>
        <v>4.30622009569378</v>
      </c>
      <c r="J106" s="48">
        <f>15+18</f>
        <v>33</v>
      </c>
      <c r="K106" s="46">
        <f t="shared" si="17"/>
        <v>1.3157894736842104</v>
      </c>
      <c r="L106" s="48">
        <f>15+24</f>
        <v>39</v>
      </c>
      <c r="M106" s="46">
        <f t="shared" si="12"/>
        <v>1.555023923444976</v>
      </c>
      <c r="N106" s="48">
        <v>1</v>
      </c>
      <c r="O106" s="49">
        <f t="shared" si="13"/>
        <v>0.03987240829346093</v>
      </c>
      <c r="P106" s="48">
        <f t="shared" si="18"/>
        <v>181</v>
      </c>
      <c r="Q106" s="50">
        <f t="shared" si="14"/>
        <v>7.216905901116427</v>
      </c>
      <c r="R106" s="48">
        <f t="shared" si="19"/>
        <v>40</v>
      </c>
      <c r="S106" s="51">
        <f t="shared" si="15"/>
        <v>1.5948963317384368</v>
      </c>
    </row>
    <row r="107" spans="1:19" ht="13.5" customHeight="1">
      <c r="A107" s="102">
        <v>94</v>
      </c>
      <c r="B107" s="103" t="s">
        <v>108</v>
      </c>
      <c r="C107" s="151">
        <v>40.52511415525114</v>
      </c>
      <c r="D107" s="44">
        <v>603</v>
      </c>
      <c r="E107" s="45">
        <f>59+36</f>
        <v>95</v>
      </c>
      <c r="F107" s="46">
        <f t="shared" si="16"/>
        <v>15.754560530679933</v>
      </c>
      <c r="G107" s="47">
        <f>60+36</f>
        <v>96</v>
      </c>
      <c r="H107" s="48">
        <v>0</v>
      </c>
      <c r="I107" s="46">
        <f t="shared" si="17"/>
        <v>0</v>
      </c>
      <c r="J107" s="48">
        <v>0</v>
      </c>
      <c r="K107" s="46">
        <f t="shared" si="17"/>
        <v>0</v>
      </c>
      <c r="L107" s="48">
        <v>0</v>
      </c>
      <c r="M107" s="46">
        <f t="shared" si="12"/>
        <v>0</v>
      </c>
      <c r="N107" s="48">
        <v>0</v>
      </c>
      <c r="O107" s="49">
        <f t="shared" si="13"/>
        <v>0</v>
      </c>
      <c r="P107" s="48">
        <f t="shared" si="18"/>
        <v>0</v>
      </c>
      <c r="Q107" s="50">
        <f t="shared" si="14"/>
        <v>0</v>
      </c>
      <c r="R107" s="48">
        <f t="shared" si="19"/>
        <v>0</v>
      </c>
      <c r="S107" s="51">
        <f t="shared" si="15"/>
        <v>0</v>
      </c>
    </row>
    <row r="108" spans="1:19" ht="13.5" customHeight="1">
      <c r="A108" s="102">
        <v>95</v>
      </c>
      <c r="B108" s="103" t="s">
        <v>109</v>
      </c>
      <c r="C108" s="151">
        <v>68.48615916955018</v>
      </c>
      <c r="D108" s="44">
        <v>700</v>
      </c>
      <c r="E108" s="45">
        <f>209+147</f>
        <v>356</v>
      </c>
      <c r="F108" s="46">
        <f t="shared" si="16"/>
        <v>50.857142857142854</v>
      </c>
      <c r="G108" s="47">
        <f>199+149</f>
        <v>348</v>
      </c>
      <c r="H108" s="48">
        <f>3+2</f>
        <v>5</v>
      </c>
      <c r="I108" s="46">
        <f t="shared" si="17"/>
        <v>1.4367816091954022</v>
      </c>
      <c r="J108" s="48">
        <v>1</v>
      </c>
      <c r="K108" s="46">
        <f t="shared" si="17"/>
        <v>0.28735632183908044</v>
      </c>
      <c r="L108" s="48">
        <f>2+3</f>
        <v>5</v>
      </c>
      <c r="M108" s="46">
        <f t="shared" si="12"/>
        <v>1.4367816091954022</v>
      </c>
      <c r="N108" s="48">
        <v>0</v>
      </c>
      <c r="O108" s="49">
        <f t="shared" si="13"/>
        <v>0</v>
      </c>
      <c r="P108" s="48">
        <f t="shared" si="18"/>
        <v>11</v>
      </c>
      <c r="Q108" s="50">
        <f t="shared" si="14"/>
        <v>3.1609195402298855</v>
      </c>
      <c r="R108" s="48">
        <f t="shared" si="19"/>
        <v>5</v>
      </c>
      <c r="S108" s="51">
        <f t="shared" si="15"/>
        <v>1.4367816091954022</v>
      </c>
    </row>
    <row r="109" spans="1:19" ht="13.5" customHeight="1">
      <c r="A109" s="102">
        <v>96</v>
      </c>
      <c r="B109" s="103" t="s">
        <v>110</v>
      </c>
      <c r="C109" s="151">
        <v>30.03734827264239</v>
      </c>
      <c r="D109" s="44">
        <v>782</v>
      </c>
      <c r="E109" s="45">
        <f>184+37</f>
        <v>221</v>
      </c>
      <c r="F109" s="46">
        <f t="shared" si="16"/>
        <v>28.26086956521739</v>
      </c>
      <c r="G109" s="47">
        <f>184+36</f>
        <v>220</v>
      </c>
      <c r="H109" s="48">
        <v>0</v>
      </c>
      <c r="I109" s="46">
        <f t="shared" si="17"/>
        <v>0</v>
      </c>
      <c r="J109" s="48">
        <v>0</v>
      </c>
      <c r="K109" s="46">
        <f t="shared" si="17"/>
        <v>0</v>
      </c>
      <c r="L109" s="48">
        <v>1</v>
      </c>
      <c r="M109" s="46">
        <f aca="true" t="shared" si="20" ref="M109:M140">IF($G109=0,0,(L109/$G109)*100)</f>
        <v>0.45454545454545453</v>
      </c>
      <c r="N109" s="48">
        <v>0</v>
      </c>
      <c r="O109" s="49">
        <f aca="true" t="shared" si="21" ref="O109:O140">IF($G109=0,0,(N109/$G109)*100)</f>
        <v>0</v>
      </c>
      <c r="P109" s="48">
        <f t="shared" si="18"/>
        <v>1</v>
      </c>
      <c r="Q109" s="50">
        <f aca="true" t="shared" si="22" ref="Q109:Q140">IF($G109=0,0,(P109/$G109)*100)</f>
        <v>0.45454545454545453</v>
      </c>
      <c r="R109" s="48">
        <f t="shared" si="19"/>
        <v>1</v>
      </c>
      <c r="S109" s="51">
        <f aca="true" t="shared" si="23" ref="S109:S140">IF($G109=0,0,(R109/$G109)*100)</f>
        <v>0.45454545454545453</v>
      </c>
    </row>
    <row r="110" spans="1:19" ht="13.5" customHeight="1">
      <c r="A110" s="102">
        <v>97</v>
      </c>
      <c r="B110" s="103" t="s">
        <v>111</v>
      </c>
      <c r="C110" s="151">
        <v>32.240437158469945</v>
      </c>
      <c r="D110" s="44">
        <v>777</v>
      </c>
      <c r="E110" s="45">
        <f>176+151</f>
        <v>327</v>
      </c>
      <c r="F110" s="46">
        <f t="shared" si="16"/>
        <v>42.084942084942085</v>
      </c>
      <c r="G110" s="47">
        <f>177+152</f>
        <v>329</v>
      </c>
      <c r="H110" s="48">
        <v>0</v>
      </c>
      <c r="I110" s="46">
        <f t="shared" si="17"/>
        <v>0</v>
      </c>
      <c r="J110" s="48">
        <v>0</v>
      </c>
      <c r="K110" s="46">
        <f t="shared" si="17"/>
        <v>0</v>
      </c>
      <c r="L110" s="48">
        <v>1</v>
      </c>
      <c r="M110" s="46">
        <f t="shared" si="20"/>
        <v>0.303951367781155</v>
      </c>
      <c r="N110" s="48">
        <v>0</v>
      </c>
      <c r="O110" s="49">
        <f t="shared" si="21"/>
        <v>0</v>
      </c>
      <c r="P110" s="48">
        <f t="shared" si="18"/>
        <v>1</v>
      </c>
      <c r="Q110" s="50">
        <f t="shared" si="22"/>
        <v>0.303951367781155</v>
      </c>
      <c r="R110" s="48">
        <f t="shared" si="19"/>
        <v>1</v>
      </c>
      <c r="S110" s="51">
        <f t="shared" si="23"/>
        <v>0.303951367781155</v>
      </c>
    </row>
    <row r="111" spans="1:19" ht="13.5" customHeight="1">
      <c r="A111" s="102">
        <v>98</v>
      </c>
      <c r="B111" s="103" t="s">
        <v>112</v>
      </c>
      <c r="C111" s="151">
        <v>70.60849598163031</v>
      </c>
      <c r="D111" s="44">
        <v>40</v>
      </c>
      <c r="E111" s="45">
        <f>5+1</f>
        <v>6</v>
      </c>
      <c r="F111" s="46">
        <f t="shared" si="16"/>
        <v>15</v>
      </c>
      <c r="G111" s="47">
        <f>5+1</f>
        <v>6</v>
      </c>
      <c r="H111" s="48">
        <v>0</v>
      </c>
      <c r="I111" s="46">
        <f t="shared" si="17"/>
        <v>0</v>
      </c>
      <c r="J111" s="48">
        <v>1</v>
      </c>
      <c r="K111" s="46">
        <f t="shared" si="17"/>
        <v>16.666666666666664</v>
      </c>
      <c r="L111" s="48">
        <v>0</v>
      </c>
      <c r="M111" s="46">
        <f t="shared" si="20"/>
        <v>0</v>
      </c>
      <c r="N111" s="48">
        <v>0</v>
      </c>
      <c r="O111" s="49">
        <f t="shared" si="21"/>
        <v>0</v>
      </c>
      <c r="P111" s="48">
        <f t="shared" si="18"/>
        <v>1</v>
      </c>
      <c r="Q111" s="50">
        <f t="shared" si="22"/>
        <v>16.666666666666664</v>
      </c>
      <c r="R111" s="48">
        <f t="shared" si="19"/>
        <v>0</v>
      </c>
      <c r="S111" s="51">
        <f t="shared" si="23"/>
        <v>0</v>
      </c>
    </row>
    <row r="112" spans="1:19" ht="13.5" customHeight="1">
      <c r="A112" s="102">
        <v>99</v>
      </c>
      <c r="B112" s="103" t="s">
        <v>113</v>
      </c>
      <c r="C112" s="151">
        <v>33.81624094548227</v>
      </c>
      <c r="D112" s="44">
        <v>364</v>
      </c>
      <c r="E112" s="45">
        <f>41+33</f>
        <v>74</v>
      </c>
      <c r="F112" s="46">
        <f t="shared" si="16"/>
        <v>20.32967032967033</v>
      </c>
      <c r="G112" s="47">
        <f>40+35</f>
        <v>75</v>
      </c>
      <c r="H112" s="48">
        <v>0</v>
      </c>
      <c r="I112" s="46">
        <f t="shared" si="17"/>
        <v>0</v>
      </c>
      <c r="J112" s="48">
        <v>0</v>
      </c>
      <c r="K112" s="46">
        <f t="shared" si="17"/>
        <v>0</v>
      </c>
      <c r="L112" s="48">
        <v>0</v>
      </c>
      <c r="M112" s="46">
        <f t="shared" si="20"/>
        <v>0</v>
      </c>
      <c r="N112" s="48">
        <v>0</v>
      </c>
      <c r="O112" s="49">
        <f t="shared" si="21"/>
        <v>0</v>
      </c>
      <c r="P112" s="48">
        <f t="shared" si="18"/>
        <v>0</v>
      </c>
      <c r="Q112" s="50">
        <f t="shared" si="22"/>
        <v>0</v>
      </c>
      <c r="R112" s="48">
        <f t="shared" si="19"/>
        <v>0</v>
      </c>
      <c r="S112" s="51">
        <f t="shared" si="23"/>
        <v>0</v>
      </c>
    </row>
    <row r="113" spans="1:19" ht="13.5" customHeight="1">
      <c r="A113" s="102">
        <v>100</v>
      </c>
      <c r="B113" s="103" t="s">
        <v>114</v>
      </c>
      <c r="C113" s="151">
        <v>59.072022160664815</v>
      </c>
      <c r="D113" s="44">
        <v>51</v>
      </c>
      <c r="E113" s="45">
        <f>5+1</f>
        <v>6</v>
      </c>
      <c r="F113" s="46">
        <f t="shared" si="16"/>
        <v>11.76470588235294</v>
      </c>
      <c r="G113" s="47">
        <f>5+1</f>
        <v>6</v>
      </c>
      <c r="H113" s="48">
        <v>0</v>
      </c>
      <c r="I113" s="46">
        <f t="shared" si="17"/>
        <v>0</v>
      </c>
      <c r="J113" s="48">
        <v>0</v>
      </c>
      <c r="K113" s="46">
        <f t="shared" si="17"/>
        <v>0</v>
      </c>
      <c r="L113" s="48">
        <v>1</v>
      </c>
      <c r="M113" s="46">
        <f t="shared" si="20"/>
        <v>16.666666666666664</v>
      </c>
      <c r="N113" s="48">
        <v>0</v>
      </c>
      <c r="O113" s="49">
        <f t="shared" si="21"/>
        <v>0</v>
      </c>
      <c r="P113" s="48">
        <f t="shared" si="18"/>
        <v>1</v>
      </c>
      <c r="Q113" s="50">
        <f t="shared" si="22"/>
        <v>16.666666666666664</v>
      </c>
      <c r="R113" s="48">
        <f t="shared" si="19"/>
        <v>1</v>
      </c>
      <c r="S113" s="51">
        <f t="shared" si="23"/>
        <v>16.666666666666664</v>
      </c>
    </row>
    <row r="114" spans="1:19" ht="13.5" customHeight="1">
      <c r="A114" s="102">
        <v>101</v>
      </c>
      <c r="B114" s="103" t="s">
        <v>115</v>
      </c>
      <c r="C114" s="151">
        <v>46.05038185341389</v>
      </c>
      <c r="D114" s="44">
        <v>478</v>
      </c>
      <c r="E114" s="45">
        <f>80+67</f>
        <v>147</v>
      </c>
      <c r="F114" s="46">
        <f t="shared" si="16"/>
        <v>30.753138075313807</v>
      </c>
      <c r="G114" s="47">
        <f>80+67</f>
        <v>147</v>
      </c>
      <c r="H114" s="48">
        <v>1</v>
      </c>
      <c r="I114" s="46">
        <f t="shared" si="17"/>
        <v>0.6802721088435374</v>
      </c>
      <c r="J114" s="48">
        <v>2</v>
      </c>
      <c r="K114" s="46">
        <f t="shared" si="17"/>
        <v>1.3605442176870748</v>
      </c>
      <c r="L114" s="48">
        <v>1</v>
      </c>
      <c r="M114" s="46">
        <f t="shared" si="20"/>
        <v>0.6802721088435374</v>
      </c>
      <c r="N114" s="48">
        <v>0</v>
      </c>
      <c r="O114" s="49">
        <f t="shared" si="21"/>
        <v>0</v>
      </c>
      <c r="P114" s="48">
        <f t="shared" si="18"/>
        <v>4</v>
      </c>
      <c r="Q114" s="50">
        <f t="shared" si="22"/>
        <v>2.7210884353741496</v>
      </c>
      <c r="R114" s="48">
        <f t="shared" si="19"/>
        <v>1</v>
      </c>
      <c r="S114" s="51">
        <f t="shared" si="23"/>
        <v>0.6802721088435374</v>
      </c>
    </row>
    <row r="115" spans="1:19" ht="13.5" customHeight="1">
      <c r="A115" s="102">
        <v>102</v>
      </c>
      <c r="B115" s="103" t="s">
        <v>116</v>
      </c>
      <c r="C115" s="151">
        <v>35.03898635477583</v>
      </c>
      <c r="D115" s="44">
        <v>108</v>
      </c>
      <c r="E115" s="45">
        <f>21+10</f>
        <v>31</v>
      </c>
      <c r="F115" s="46">
        <f t="shared" si="16"/>
        <v>28.703703703703702</v>
      </c>
      <c r="G115" s="47">
        <f>21+10</f>
        <v>31</v>
      </c>
      <c r="H115" s="48">
        <v>0</v>
      </c>
      <c r="I115" s="46">
        <f t="shared" si="17"/>
        <v>0</v>
      </c>
      <c r="J115" s="48">
        <v>0</v>
      </c>
      <c r="K115" s="46">
        <f t="shared" si="17"/>
        <v>0</v>
      </c>
      <c r="L115" s="48">
        <v>0</v>
      </c>
      <c r="M115" s="46">
        <f t="shared" si="20"/>
        <v>0</v>
      </c>
      <c r="N115" s="48">
        <v>0</v>
      </c>
      <c r="O115" s="49">
        <f t="shared" si="21"/>
        <v>0</v>
      </c>
      <c r="P115" s="48">
        <f t="shared" si="18"/>
        <v>0</v>
      </c>
      <c r="Q115" s="50">
        <f t="shared" si="22"/>
        <v>0</v>
      </c>
      <c r="R115" s="48">
        <f t="shared" si="19"/>
        <v>0</v>
      </c>
      <c r="S115" s="51">
        <f t="shared" si="23"/>
        <v>0</v>
      </c>
    </row>
    <row r="116" spans="1:19" ht="13.5" customHeight="1">
      <c r="A116" s="102">
        <v>103</v>
      </c>
      <c r="B116" s="103" t="s">
        <v>117</v>
      </c>
      <c r="C116" s="151">
        <v>52.567179213699525</v>
      </c>
      <c r="D116" s="44">
        <v>2289</v>
      </c>
      <c r="E116" s="45">
        <f>643+770</f>
        <v>1413</v>
      </c>
      <c r="F116" s="46">
        <f t="shared" si="16"/>
        <v>61.730013106159895</v>
      </c>
      <c r="G116" s="47">
        <f>637+763</f>
        <v>1400</v>
      </c>
      <c r="H116" s="48">
        <f>3+13</f>
        <v>16</v>
      </c>
      <c r="I116" s="46">
        <f t="shared" si="17"/>
        <v>1.1428571428571428</v>
      </c>
      <c r="J116" s="48">
        <v>0</v>
      </c>
      <c r="K116" s="46">
        <f t="shared" si="17"/>
        <v>0</v>
      </c>
      <c r="L116" s="48">
        <v>4</v>
      </c>
      <c r="M116" s="46">
        <f t="shared" si="20"/>
        <v>0.2857142857142857</v>
      </c>
      <c r="N116" s="48">
        <v>0</v>
      </c>
      <c r="O116" s="49">
        <f t="shared" si="21"/>
        <v>0</v>
      </c>
      <c r="P116" s="48">
        <f t="shared" si="18"/>
        <v>20</v>
      </c>
      <c r="Q116" s="50">
        <f t="shared" si="22"/>
        <v>1.4285714285714286</v>
      </c>
      <c r="R116" s="48">
        <f t="shared" si="19"/>
        <v>4</v>
      </c>
      <c r="S116" s="51">
        <f t="shared" si="23"/>
        <v>0.2857142857142857</v>
      </c>
    </row>
    <row r="117" spans="1:19" ht="13.5" customHeight="1">
      <c r="A117" s="102">
        <v>104</v>
      </c>
      <c r="B117" s="103" t="s">
        <v>118</v>
      </c>
      <c r="C117" s="151">
        <v>62.01807228915662</v>
      </c>
      <c r="D117" s="44">
        <v>891</v>
      </c>
      <c r="E117" s="45">
        <f>338+281</f>
        <v>619</v>
      </c>
      <c r="F117" s="46">
        <f t="shared" si="16"/>
        <v>69.47250280583613</v>
      </c>
      <c r="G117" s="47">
        <f>329+304</f>
        <v>633</v>
      </c>
      <c r="H117" s="48">
        <f>7+8</f>
        <v>15</v>
      </c>
      <c r="I117" s="46">
        <f t="shared" si="17"/>
        <v>2.3696682464454977</v>
      </c>
      <c r="J117" s="48">
        <f>6+2</f>
        <v>8</v>
      </c>
      <c r="K117" s="46">
        <f t="shared" si="17"/>
        <v>1.263823064770932</v>
      </c>
      <c r="L117" s="48">
        <f>2+1</f>
        <v>3</v>
      </c>
      <c r="M117" s="46">
        <f t="shared" si="20"/>
        <v>0.47393364928909953</v>
      </c>
      <c r="N117" s="48">
        <v>0</v>
      </c>
      <c r="O117" s="49">
        <f t="shared" si="21"/>
        <v>0</v>
      </c>
      <c r="P117" s="48">
        <f t="shared" si="18"/>
        <v>26</v>
      </c>
      <c r="Q117" s="50">
        <f t="shared" si="22"/>
        <v>4.107424960505529</v>
      </c>
      <c r="R117" s="48">
        <f t="shared" si="19"/>
        <v>3</v>
      </c>
      <c r="S117" s="51">
        <f t="shared" si="23"/>
        <v>0.47393364928909953</v>
      </c>
    </row>
    <row r="118" spans="1:19" ht="13.5" customHeight="1">
      <c r="A118" s="102">
        <v>105</v>
      </c>
      <c r="B118" s="103" t="s">
        <v>119</v>
      </c>
      <c r="C118" s="151">
        <v>50.984682713347915</v>
      </c>
      <c r="D118" s="44">
        <v>153</v>
      </c>
      <c r="E118" s="45">
        <f>63+48</f>
        <v>111</v>
      </c>
      <c r="F118" s="46">
        <f t="shared" si="16"/>
        <v>72.54901960784314</v>
      </c>
      <c r="G118" s="47">
        <f>61+50</f>
        <v>111</v>
      </c>
      <c r="H118" s="48">
        <v>0</v>
      </c>
      <c r="I118" s="46">
        <f t="shared" si="17"/>
        <v>0</v>
      </c>
      <c r="J118" s="48">
        <v>0</v>
      </c>
      <c r="K118" s="46">
        <f t="shared" si="17"/>
        <v>0</v>
      </c>
      <c r="L118" s="48">
        <v>0</v>
      </c>
      <c r="M118" s="46">
        <f t="shared" si="20"/>
        <v>0</v>
      </c>
      <c r="N118" s="48">
        <v>0</v>
      </c>
      <c r="O118" s="49">
        <f t="shared" si="21"/>
        <v>0</v>
      </c>
      <c r="P118" s="48">
        <f t="shared" si="18"/>
        <v>0</v>
      </c>
      <c r="Q118" s="50">
        <f t="shared" si="22"/>
        <v>0</v>
      </c>
      <c r="R118" s="48">
        <f t="shared" si="19"/>
        <v>0</v>
      </c>
      <c r="S118" s="51">
        <f t="shared" si="23"/>
        <v>0</v>
      </c>
    </row>
    <row r="119" spans="1:19" ht="13.5" customHeight="1">
      <c r="A119" s="102">
        <v>106</v>
      </c>
      <c r="B119" s="103" t="s">
        <v>120</v>
      </c>
      <c r="C119" s="151">
        <v>45.137203658764236</v>
      </c>
      <c r="D119" s="44">
        <v>238</v>
      </c>
      <c r="E119" s="45">
        <f>90+63</f>
        <v>153</v>
      </c>
      <c r="F119" s="46">
        <f t="shared" si="16"/>
        <v>64.28571428571429</v>
      </c>
      <c r="G119" s="47">
        <f>90+64</f>
        <v>154</v>
      </c>
      <c r="H119" s="48">
        <v>0</v>
      </c>
      <c r="I119" s="46">
        <f t="shared" si="17"/>
        <v>0</v>
      </c>
      <c r="J119" s="48">
        <v>0</v>
      </c>
      <c r="K119" s="46">
        <f t="shared" si="17"/>
        <v>0</v>
      </c>
      <c r="L119" s="48">
        <v>0</v>
      </c>
      <c r="M119" s="46">
        <f t="shared" si="20"/>
        <v>0</v>
      </c>
      <c r="N119" s="48">
        <v>0</v>
      </c>
      <c r="O119" s="49">
        <f t="shared" si="21"/>
        <v>0</v>
      </c>
      <c r="P119" s="48">
        <f t="shared" si="18"/>
        <v>0</v>
      </c>
      <c r="Q119" s="50">
        <f t="shared" si="22"/>
        <v>0</v>
      </c>
      <c r="R119" s="48">
        <f t="shared" si="19"/>
        <v>0</v>
      </c>
      <c r="S119" s="51">
        <f t="shared" si="23"/>
        <v>0</v>
      </c>
    </row>
    <row r="120" spans="1:19" ht="13.5" customHeight="1">
      <c r="A120" s="102">
        <v>107</v>
      </c>
      <c r="B120" s="103" t="s">
        <v>121</v>
      </c>
      <c r="C120" s="151">
        <v>46.85831622176591</v>
      </c>
      <c r="D120" s="44">
        <v>304</v>
      </c>
      <c r="E120" s="45">
        <f>95+19</f>
        <v>114</v>
      </c>
      <c r="F120" s="46">
        <f t="shared" si="16"/>
        <v>37.5</v>
      </c>
      <c r="G120" s="47">
        <f>92+20</f>
        <v>112</v>
      </c>
      <c r="H120" s="48">
        <v>0</v>
      </c>
      <c r="I120" s="46">
        <f t="shared" si="17"/>
        <v>0</v>
      </c>
      <c r="J120" s="48">
        <v>0</v>
      </c>
      <c r="K120" s="46">
        <f t="shared" si="17"/>
        <v>0</v>
      </c>
      <c r="L120" s="48">
        <v>0</v>
      </c>
      <c r="M120" s="46">
        <f t="shared" si="20"/>
        <v>0</v>
      </c>
      <c r="N120" s="48">
        <v>0</v>
      </c>
      <c r="O120" s="49">
        <f t="shared" si="21"/>
        <v>0</v>
      </c>
      <c r="P120" s="48">
        <f t="shared" si="18"/>
        <v>0</v>
      </c>
      <c r="Q120" s="50">
        <f t="shared" si="22"/>
        <v>0</v>
      </c>
      <c r="R120" s="48">
        <f t="shared" si="19"/>
        <v>0</v>
      </c>
      <c r="S120" s="51">
        <f t="shared" si="23"/>
        <v>0</v>
      </c>
    </row>
    <row r="121" spans="1:19" ht="13.5" customHeight="1">
      <c r="A121" s="102">
        <v>108</v>
      </c>
      <c r="B121" s="103" t="s">
        <v>122</v>
      </c>
      <c r="C121" s="151">
        <v>29.70760233918129</v>
      </c>
      <c r="D121" s="44">
        <v>240</v>
      </c>
      <c r="E121" s="45">
        <f>77+80</f>
        <v>157</v>
      </c>
      <c r="F121" s="46">
        <f t="shared" si="16"/>
        <v>65.41666666666667</v>
      </c>
      <c r="G121" s="47">
        <f>75+78</f>
        <v>153</v>
      </c>
      <c r="H121" s="48">
        <v>0</v>
      </c>
      <c r="I121" s="46">
        <f t="shared" si="17"/>
        <v>0</v>
      </c>
      <c r="J121" s="48">
        <v>0</v>
      </c>
      <c r="K121" s="46">
        <f t="shared" si="17"/>
        <v>0</v>
      </c>
      <c r="L121" s="48">
        <v>0</v>
      </c>
      <c r="M121" s="46">
        <f t="shared" si="20"/>
        <v>0</v>
      </c>
      <c r="N121" s="48">
        <v>0</v>
      </c>
      <c r="O121" s="49">
        <f t="shared" si="21"/>
        <v>0</v>
      </c>
      <c r="P121" s="48">
        <f t="shared" si="18"/>
        <v>0</v>
      </c>
      <c r="Q121" s="50">
        <f t="shared" si="22"/>
        <v>0</v>
      </c>
      <c r="R121" s="48">
        <f t="shared" si="19"/>
        <v>0</v>
      </c>
      <c r="S121" s="51">
        <f t="shared" si="23"/>
        <v>0</v>
      </c>
    </row>
    <row r="122" spans="1:19" ht="13.5" customHeight="1">
      <c r="A122" s="102">
        <v>109</v>
      </c>
      <c r="B122" s="103" t="s">
        <v>123</v>
      </c>
      <c r="C122" s="151">
        <v>47.19873150105708</v>
      </c>
      <c r="D122" s="44">
        <v>398</v>
      </c>
      <c r="E122" s="45">
        <f>139+125</f>
        <v>264</v>
      </c>
      <c r="F122" s="46">
        <f t="shared" si="16"/>
        <v>66.33165829145729</v>
      </c>
      <c r="G122" s="47">
        <f>131+126</f>
        <v>257</v>
      </c>
      <c r="H122" s="48">
        <v>2</v>
      </c>
      <c r="I122" s="46">
        <f t="shared" si="17"/>
        <v>0.7782101167315175</v>
      </c>
      <c r="J122" s="48">
        <v>0</v>
      </c>
      <c r="K122" s="46">
        <f t="shared" si="17"/>
        <v>0</v>
      </c>
      <c r="L122" s="48">
        <v>0</v>
      </c>
      <c r="M122" s="46">
        <f t="shared" si="20"/>
        <v>0</v>
      </c>
      <c r="N122" s="48">
        <v>0</v>
      </c>
      <c r="O122" s="49">
        <f t="shared" si="21"/>
        <v>0</v>
      </c>
      <c r="P122" s="48">
        <f t="shared" si="18"/>
        <v>2</v>
      </c>
      <c r="Q122" s="50">
        <f t="shared" si="22"/>
        <v>0.7782101167315175</v>
      </c>
      <c r="R122" s="48">
        <f t="shared" si="19"/>
        <v>0</v>
      </c>
      <c r="S122" s="51">
        <f t="shared" si="23"/>
        <v>0</v>
      </c>
    </row>
    <row r="123" spans="1:19" ht="13.5" customHeight="1">
      <c r="A123" s="102">
        <v>110</v>
      </c>
      <c r="B123" s="103" t="s">
        <v>124</v>
      </c>
      <c r="C123" s="151">
        <v>45.322434150772025</v>
      </c>
      <c r="D123" s="44">
        <v>339</v>
      </c>
      <c r="E123" s="45">
        <f>81+45</f>
        <v>126</v>
      </c>
      <c r="F123" s="46">
        <f t="shared" si="16"/>
        <v>37.16814159292036</v>
      </c>
      <c r="G123" s="47">
        <f>79+46</f>
        <v>125</v>
      </c>
      <c r="H123" s="48">
        <f>1+2</f>
        <v>3</v>
      </c>
      <c r="I123" s="46">
        <f t="shared" si="17"/>
        <v>2.4</v>
      </c>
      <c r="J123" s="48">
        <v>0</v>
      </c>
      <c r="K123" s="46">
        <f t="shared" si="17"/>
        <v>0</v>
      </c>
      <c r="L123" s="48">
        <v>0</v>
      </c>
      <c r="M123" s="46">
        <f t="shared" si="20"/>
        <v>0</v>
      </c>
      <c r="N123" s="48">
        <v>0</v>
      </c>
      <c r="O123" s="49">
        <f t="shared" si="21"/>
        <v>0</v>
      </c>
      <c r="P123" s="48">
        <f t="shared" si="18"/>
        <v>3</v>
      </c>
      <c r="Q123" s="50">
        <f t="shared" si="22"/>
        <v>2.4</v>
      </c>
      <c r="R123" s="48">
        <f t="shared" si="19"/>
        <v>0</v>
      </c>
      <c r="S123" s="51">
        <f t="shared" si="23"/>
        <v>0</v>
      </c>
    </row>
    <row r="124" spans="1:19" ht="13.5" customHeight="1">
      <c r="A124" s="102">
        <v>111</v>
      </c>
      <c r="B124" s="103" t="s">
        <v>125</v>
      </c>
      <c r="C124" s="151">
        <v>52.41067585019371</v>
      </c>
      <c r="D124" s="44">
        <v>262</v>
      </c>
      <c r="E124" s="45">
        <f>74+23</f>
        <v>97</v>
      </c>
      <c r="F124" s="46">
        <f t="shared" si="16"/>
        <v>37.02290076335878</v>
      </c>
      <c r="G124" s="47">
        <f>74+24</f>
        <v>98</v>
      </c>
      <c r="H124" s="48">
        <v>1</v>
      </c>
      <c r="I124" s="46">
        <f t="shared" si="17"/>
        <v>1.0204081632653061</v>
      </c>
      <c r="J124" s="48">
        <v>0</v>
      </c>
      <c r="K124" s="46">
        <f t="shared" si="17"/>
        <v>0</v>
      </c>
      <c r="L124" s="48">
        <v>0</v>
      </c>
      <c r="M124" s="46">
        <f t="shared" si="20"/>
        <v>0</v>
      </c>
      <c r="N124" s="48">
        <v>0</v>
      </c>
      <c r="O124" s="49">
        <f t="shared" si="21"/>
        <v>0</v>
      </c>
      <c r="P124" s="48">
        <f t="shared" si="18"/>
        <v>1</v>
      </c>
      <c r="Q124" s="50">
        <f t="shared" si="22"/>
        <v>1.0204081632653061</v>
      </c>
      <c r="R124" s="48">
        <f t="shared" si="19"/>
        <v>0</v>
      </c>
      <c r="S124" s="51">
        <f t="shared" si="23"/>
        <v>0</v>
      </c>
    </row>
    <row r="125" spans="1:19" ht="13.5" customHeight="1">
      <c r="A125" s="102">
        <v>112</v>
      </c>
      <c r="B125" s="103" t="s">
        <v>126</v>
      </c>
      <c r="C125" s="151">
        <v>44.44444444444444</v>
      </c>
      <c r="D125" s="44">
        <v>78</v>
      </c>
      <c r="E125" s="45">
        <f>28+25</f>
        <v>53</v>
      </c>
      <c r="F125" s="46">
        <f t="shared" si="16"/>
        <v>67.94871794871796</v>
      </c>
      <c r="G125" s="47">
        <f>27+26</f>
        <v>53</v>
      </c>
      <c r="H125" s="48">
        <v>0</v>
      </c>
      <c r="I125" s="46">
        <f t="shared" si="17"/>
        <v>0</v>
      </c>
      <c r="J125" s="48">
        <v>0</v>
      </c>
      <c r="K125" s="46">
        <f t="shared" si="17"/>
        <v>0</v>
      </c>
      <c r="L125" s="48">
        <v>0</v>
      </c>
      <c r="M125" s="46">
        <f t="shared" si="20"/>
        <v>0</v>
      </c>
      <c r="N125" s="48">
        <v>0</v>
      </c>
      <c r="O125" s="49">
        <f t="shared" si="21"/>
        <v>0</v>
      </c>
      <c r="P125" s="48">
        <f t="shared" si="18"/>
        <v>0</v>
      </c>
      <c r="Q125" s="50">
        <f t="shared" si="22"/>
        <v>0</v>
      </c>
      <c r="R125" s="48">
        <f t="shared" si="19"/>
        <v>0</v>
      </c>
      <c r="S125" s="51">
        <f t="shared" si="23"/>
        <v>0</v>
      </c>
    </row>
    <row r="126" spans="1:19" ht="13.5" customHeight="1">
      <c r="A126" s="102">
        <v>113</v>
      </c>
      <c r="B126" s="103" t="s">
        <v>127</v>
      </c>
      <c r="C126" s="151">
        <v>57.341269841269835</v>
      </c>
      <c r="D126" s="44">
        <v>244</v>
      </c>
      <c r="E126" s="45">
        <f>25+41</f>
        <v>66</v>
      </c>
      <c r="F126" s="46">
        <f t="shared" si="16"/>
        <v>27.049180327868854</v>
      </c>
      <c r="G126" s="47">
        <f>27+41</f>
        <v>68</v>
      </c>
      <c r="H126" s="48">
        <v>0</v>
      </c>
      <c r="I126" s="46">
        <f t="shared" si="17"/>
        <v>0</v>
      </c>
      <c r="J126" s="48">
        <v>0</v>
      </c>
      <c r="K126" s="46">
        <f t="shared" si="17"/>
        <v>0</v>
      </c>
      <c r="L126" s="48">
        <v>0</v>
      </c>
      <c r="M126" s="46">
        <f t="shared" si="20"/>
        <v>0</v>
      </c>
      <c r="N126" s="48">
        <v>0</v>
      </c>
      <c r="O126" s="49">
        <f t="shared" si="21"/>
        <v>0</v>
      </c>
      <c r="P126" s="48">
        <f t="shared" si="18"/>
        <v>0</v>
      </c>
      <c r="Q126" s="50">
        <f t="shared" si="22"/>
        <v>0</v>
      </c>
      <c r="R126" s="48">
        <f t="shared" si="19"/>
        <v>0</v>
      </c>
      <c r="S126" s="51">
        <f t="shared" si="23"/>
        <v>0</v>
      </c>
    </row>
    <row r="127" spans="1:19" ht="13.5" customHeight="1">
      <c r="A127" s="102">
        <v>114</v>
      </c>
      <c r="B127" s="103" t="s">
        <v>128</v>
      </c>
      <c r="C127" s="151">
        <v>37.55917937927406</v>
      </c>
      <c r="D127" s="44">
        <v>84</v>
      </c>
      <c r="E127" s="45">
        <f>27+28</f>
        <v>55</v>
      </c>
      <c r="F127" s="46">
        <f t="shared" si="16"/>
        <v>65.47619047619048</v>
      </c>
      <c r="G127" s="47">
        <f>26+29</f>
        <v>55</v>
      </c>
      <c r="H127" s="48">
        <v>0</v>
      </c>
      <c r="I127" s="46">
        <f t="shared" si="17"/>
        <v>0</v>
      </c>
      <c r="J127" s="48">
        <v>0</v>
      </c>
      <c r="K127" s="46">
        <f t="shared" si="17"/>
        <v>0</v>
      </c>
      <c r="L127" s="48">
        <v>0</v>
      </c>
      <c r="M127" s="46">
        <f t="shared" si="20"/>
        <v>0</v>
      </c>
      <c r="N127" s="48">
        <v>0</v>
      </c>
      <c r="O127" s="49">
        <f t="shared" si="21"/>
        <v>0</v>
      </c>
      <c r="P127" s="48">
        <f t="shared" si="18"/>
        <v>0</v>
      </c>
      <c r="Q127" s="50">
        <f t="shared" si="22"/>
        <v>0</v>
      </c>
      <c r="R127" s="48">
        <f t="shared" si="19"/>
        <v>0</v>
      </c>
      <c r="S127" s="51">
        <f t="shared" si="23"/>
        <v>0</v>
      </c>
    </row>
    <row r="128" spans="1:19" ht="13.5" customHeight="1">
      <c r="A128" s="102">
        <v>115</v>
      </c>
      <c r="B128" s="103" t="s">
        <v>129</v>
      </c>
      <c r="C128" s="151">
        <v>31.286360698125403</v>
      </c>
      <c r="D128" s="44">
        <v>225</v>
      </c>
      <c r="E128" s="45">
        <f>45+22</f>
        <v>67</v>
      </c>
      <c r="F128" s="46">
        <f t="shared" si="16"/>
        <v>29.777777777777775</v>
      </c>
      <c r="G128" s="47">
        <f>45+22</f>
        <v>67</v>
      </c>
      <c r="H128" s="48">
        <v>0</v>
      </c>
      <c r="I128" s="46">
        <f t="shared" si="17"/>
        <v>0</v>
      </c>
      <c r="J128" s="48">
        <v>0</v>
      </c>
      <c r="K128" s="46">
        <f t="shared" si="17"/>
        <v>0</v>
      </c>
      <c r="L128" s="48">
        <v>0</v>
      </c>
      <c r="M128" s="46">
        <f t="shared" si="20"/>
        <v>0</v>
      </c>
      <c r="N128" s="48">
        <v>0</v>
      </c>
      <c r="O128" s="49">
        <f t="shared" si="21"/>
        <v>0</v>
      </c>
      <c r="P128" s="48">
        <f t="shared" si="18"/>
        <v>0</v>
      </c>
      <c r="Q128" s="50">
        <f t="shared" si="22"/>
        <v>0</v>
      </c>
      <c r="R128" s="48">
        <f t="shared" si="19"/>
        <v>0</v>
      </c>
      <c r="S128" s="51">
        <f t="shared" si="23"/>
        <v>0</v>
      </c>
    </row>
    <row r="129" spans="1:19" ht="13.5" customHeight="1">
      <c r="A129" s="102">
        <v>116</v>
      </c>
      <c r="B129" s="103" t="s">
        <v>130</v>
      </c>
      <c r="C129" s="151">
        <v>64.50063211125158</v>
      </c>
      <c r="D129" s="44">
        <v>219</v>
      </c>
      <c r="E129" s="45">
        <f>66+54</f>
        <v>120</v>
      </c>
      <c r="F129" s="46">
        <f t="shared" si="16"/>
        <v>54.794520547945204</v>
      </c>
      <c r="G129" s="47">
        <f>65+52</f>
        <v>117</v>
      </c>
      <c r="H129" s="48">
        <v>0</v>
      </c>
      <c r="I129" s="46">
        <f t="shared" si="17"/>
        <v>0</v>
      </c>
      <c r="J129" s="48">
        <v>0</v>
      </c>
      <c r="K129" s="46">
        <f t="shared" si="17"/>
        <v>0</v>
      </c>
      <c r="L129" s="48">
        <v>0</v>
      </c>
      <c r="M129" s="46">
        <f t="shared" si="20"/>
        <v>0</v>
      </c>
      <c r="N129" s="48">
        <v>0</v>
      </c>
      <c r="O129" s="49">
        <f t="shared" si="21"/>
        <v>0</v>
      </c>
      <c r="P129" s="48">
        <f t="shared" si="18"/>
        <v>0</v>
      </c>
      <c r="Q129" s="50">
        <f t="shared" si="22"/>
        <v>0</v>
      </c>
      <c r="R129" s="48">
        <f t="shared" si="19"/>
        <v>0</v>
      </c>
      <c r="S129" s="51">
        <f t="shared" si="23"/>
        <v>0</v>
      </c>
    </row>
    <row r="130" spans="1:19" ht="13.5" customHeight="1">
      <c r="A130" s="102">
        <v>117</v>
      </c>
      <c r="B130" s="103" t="s">
        <v>131</v>
      </c>
      <c r="C130" s="151">
        <v>37.394685677252106</v>
      </c>
      <c r="D130" s="44">
        <v>228</v>
      </c>
      <c r="E130" s="45">
        <f>36+49</f>
        <v>85</v>
      </c>
      <c r="F130" s="46">
        <f t="shared" si="16"/>
        <v>37.280701754385966</v>
      </c>
      <c r="G130" s="47">
        <f>36+49</f>
        <v>85</v>
      </c>
      <c r="H130" s="48">
        <v>1</v>
      </c>
      <c r="I130" s="46">
        <f t="shared" si="17"/>
        <v>1.1764705882352942</v>
      </c>
      <c r="J130" s="48">
        <v>0</v>
      </c>
      <c r="K130" s="46">
        <f t="shared" si="17"/>
        <v>0</v>
      </c>
      <c r="L130" s="48">
        <v>0</v>
      </c>
      <c r="M130" s="46">
        <f t="shared" si="20"/>
        <v>0</v>
      </c>
      <c r="N130" s="48">
        <v>0</v>
      </c>
      <c r="O130" s="49">
        <f t="shared" si="21"/>
        <v>0</v>
      </c>
      <c r="P130" s="48">
        <f t="shared" si="18"/>
        <v>1</v>
      </c>
      <c r="Q130" s="50">
        <f t="shared" si="22"/>
        <v>1.1764705882352942</v>
      </c>
      <c r="R130" s="48">
        <f t="shared" si="19"/>
        <v>0</v>
      </c>
      <c r="S130" s="51">
        <f t="shared" si="23"/>
        <v>0</v>
      </c>
    </row>
    <row r="131" spans="1:19" ht="13.5" customHeight="1">
      <c r="A131" s="102">
        <v>118</v>
      </c>
      <c r="B131" s="103" t="s">
        <v>132</v>
      </c>
      <c r="C131" s="151">
        <v>32.533513574405774</v>
      </c>
      <c r="D131" s="44">
        <v>741</v>
      </c>
      <c r="E131" s="45">
        <f>87+70</f>
        <v>157</v>
      </c>
      <c r="F131" s="46">
        <f t="shared" si="16"/>
        <v>21.18758434547908</v>
      </c>
      <c r="G131" s="47">
        <f>85+72</f>
        <v>157</v>
      </c>
      <c r="H131" s="48">
        <v>0</v>
      </c>
      <c r="I131" s="46">
        <f t="shared" si="17"/>
        <v>0</v>
      </c>
      <c r="J131" s="48">
        <v>0</v>
      </c>
      <c r="K131" s="46">
        <f t="shared" si="17"/>
        <v>0</v>
      </c>
      <c r="L131" s="48">
        <v>0</v>
      </c>
      <c r="M131" s="46">
        <f t="shared" si="20"/>
        <v>0</v>
      </c>
      <c r="N131" s="48">
        <v>0</v>
      </c>
      <c r="O131" s="49">
        <f t="shared" si="21"/>
        <v>0</v>
      </c>
      <c r="P131" s="48">
        <f t="shared" si="18"/>
        <v>0</v>
      </c>
      <c r="Q131" s="50">
        <f t="shared" si="22"/>
        <v>0</v>
      </c>
      <c r="R131" s="48">
        <f t="shared" si="19"/>
        <v>0</v>
      </c>
      <c r="S131" s="51">
        <f t="shared" si="23"/>
        <v>0</v>
      </c>
    </row>
    <row r="132" spans="1:19" ht="13.5" customHeight="1">
      <c r="A132" s="102">
        <v>119</v>
      </c>
      <c r="B132" s="103" t="s">
        <v>133</v>
      </c>
      <c r="C132" s="151">
        <v>22.461035696329816</v>
      </c>
      <c r="D132" s="44">
        <v>372</v>
      </c>
      <c r="E132" s="45">
        <f>29+48</f>
        <v>77</v>
      </c>
      <c r="F132" s="46">
        <f t="shared" si="16"/>
        <v>20.698924731182796</v>
      </c>
      <c r="G132" s="47">
        <f>29+47</f>
        <v>76</v>
      </c>
      <c r="H132" s="48">
        <v>0</v>
      </c>
      <c r="I132" s="46">
        <f t="shared" si="17"/>
        <v>0</v>
      </c>
      <c r="J132" s="48">
        <v>0</v>
      </c>
      <c r="K132" s="46">
        <f t="shared" si="17"/>
        <v>0</v>
      </c>
      <c r="L132" s="48">
        <v>0</v>
      </c>
      <c r="M132" s="46">
        <f t="shared" si="20"/>
        <v>0</v>
      </c>
      <c r="N132" s="48">
        <v>0</v>
      </c>
      <c r="O132" s="49">
        <f t="shared" si="21"/>
        <v>0</v>
      </c>
      <c r="P132" s="48">
        <f t="shared" si="18"/>
        <v>0</v>
      </c>
      <c r="Q132" s="50">
        <f t="shared" si="22"/>
        <v>0</v>
      </c>
      <c r="R132" s="48">
        <f t="shared" si="19"/>
        <v>0</v>
      </c>
      <c r="S132" s="51">
        <f t="shared" si="23"/>
        <v>0</v>
      </c>
    </row>
    <row r="133" spans="1:19" ht="13.5" customHeight="1">
      <c r="A133" s="102">
        <v>120</v>
      </c>
      <c r="B133" s="103" t="s">
        <v>134</v>
      </c>
      <c r="C133" s="151">
        <v>43.02554027504912</v>
      </c>
      <c r="D133" s="44">
        <v>45</v>
      </c>
      <c r="E133" s="45">
        <f>12+4</f>
        <v>16</v>
      </c>
      <c r="F133" s="46">
        <f t="shared" si="16"/>
        <v>35.55555555555556</v>
      </c>
      <c r="G133" s="47">
        <f>13+4</f>
        <v>17</v>
      </c>
      <c r="H133" s="48">
        <v>0</v>
      </c>
      <c r="I133" s="46">
        <f t="shared" si="17"/>
        <v>0</v>
      </c>
      <c r="J133" s="48">
        <v>0</v>
      </c>
      <c r="K133" s="46">
        <f t="shared" si="17"/>
        <v>0</v>
      </c>
      <c r="L133" s="48">
        <v>0</v>
      </c>
      <c r="M133" s="46">
        <f t="shared" si="20"/>
        <v>0</v>
      </c>
      <c r="N133" s="48">
        <v>0</v>
      </c>
      <c r="O133" s="49">
        <f t="shared" si="21"/>
        <v>0</v>
      </c>
      <c r="P133" s="48">
        <f t="shared" si="18"/>
        <v>0</v>
      </c>
      <c r="Q133" s="50">
        <f t="shared" si="22"/>
        <v>0</v>
      </c>
      <c r="R133" s="48">
        <f t="shared" si="19"/>
        <v>0</v>
      </c>
      <c r="S133" s="51">
        <f t="shared" si="23"/>
        <v>0</v>
      </c>
    </row>
    <row r="134" spans="1:19" ht="13.5" customHeight="1">
      <c r="A134" s="102">
        <v>121</v>
      </c>
      <c r="B134" s="103" t="s">
        <v>135</v>
      </c>
      <c r="C134" s="151">
        <v>14.501510574018129</v>
      </c>
      <c r="D134" s="44">
        <v>92</v>
      </c>
      <c r="E134" s="45">
        <f>30+18</f>
        <v>48</v>
      </c>
      <c r="F134" s="46">
        <f t="shared" si="16"/>
        <v>52.17391304347826</v>
      </c>
      <c r="G134" s="47">
        <f>29+17</f>
        <v>46</v>
      </c>
      <c r="H134" s="48">
        <v>0</v>
      </c>
      <c r="I134" s="46">
        <f t="shared" si="17"/>
        <v>0</v>
      </c>
      <c r="J134" s="48">
        <v>0</v>
      </c>
      <c r="K134" s="46">
        <f t="shared" si="17"/>
        <v>0</v>
      </c>
      <c r="L134" s="48">
        <v>0</v>
      </c>
      <c r="M134" s="46">
        <f t="shared" si="20"/>
        <v>0</v>
      </c>
      <c r="N134" s="48">
        <v>0</v>
      </c>
      <c r="O134" s="49">
        <f t="shared" si="21"/>
        <v>0</v>
      </c>
      <c r="P134" s="48">
        <f t="shared" si="18"/>
        <v>0</v>
      </c>
      <c r="Q134" s="50">
        <f t="shared" si="22"/>
        <v>0</v>
      </c>
      <c r="R134" s="48">
        <f t="shared" si="19"/>
        <v>0</v>
      </c>
      <c r="S134" s="51">
        <f t="shared" si="23"/>
        <v>0</v>
      </c>
    </row>
    <row r="135" spans="1:19" ht="13.5" customHeight="1">
      <c r="A135" s="102">
        <v>122</v>
      </c>
      <c r="B135" s="103" t="s">
        <v>136</v>
      </c>
      <c r="C135" s="151">
        <v>58.17427385892117</v>
      </c>
      <c r="D135" s="44">
        <v>58</v>
      </c>
      <c r="E135" s="45">
        <f>9+3</f>
        <v>12</v>
      </c>
      <c r="F135" s="46">
        <f t="shared" si="16"/>
        <v>20.689655172413794</v>
      </c>
      <c r="G135" s="47">
        <f>9+3</f>
        <v>12</v>
      </c>
      <c r="H135" s="48">
        <f>1+1</f>
        <v>2</v>
      </c>
      <c r="I135" s="46">
        <f t="shared" si="17"/>
        <v>16.666666666666664</v>
      </c>
      <c r="J135" s="48">
        <v>0</v>
      </c>
      <c r="K135" s="46">
        <f t="shared" si="17"/>
        <v>0</v>
      </c>
      <c r="L135" s="48">
        <v>0</v>
      </c>
      <c r="M135" s="46">
        <f t="shared" si="20"/>
        <v>0</v>
      </c>
      <c r="N135" s="48">
        <v>0</v>
      </c>
      <c r="O135" s="49">
        <f t="shared" si="21"/>
        <v>0</v>
      </c>
      <c r="P135" s="48">
        <f t="shared" si="18"/>
        <v>2</v>
      </c>
      <c r="Q135" s="50">
        <f t="shared" si="22"/>
        <v>16.666666666666664</v>
      </c>
      <c r="R135" s="48">
        <f t="shared" si="19"/>
        <v>0</v>
      </c>
      <c r="S135" s="51">
        <f t="shared" si="23"/>
        <v>0</v>
      </c>
    </row>
    <row r="136" spans="1:19" ht="13.5" customHeight="1">
      <c r="A136" s="102">
        <v>123</v>
      </c>
      <c r="B136" s="103" t="s">
        <v>137</v>
      </c>
      <c r="C136" s="151">
        <v>35.52859618717504</v>
      </c>
      <c r="D136" s="44">
        <v>50</v>
      </c>
      <c r="E136" s="45">
        <f>1+4</f>
        <v>5</v>
      </c>
      <c r="F136" s="46">
        <f t="shared" si="16"/>
        <v>10</v>
      </c>
      <c r="G136" s="47">
        <f>1+4</f>
        <v>5</v>
      </c>
      <c r="H136" s="48">
        <v>0</v>
      </c>
      <c r="I136" s="46">
        <f t="shared" si="17"/>
        <v>0</v>
      </c>
      <c r="J136" s="48">
        <v>0</v>
      </c>
      <c r="K136" s="46">
        <f t="shared" si="17"/>
        <v>0</v>
      </c>
      <c r="L136" s="48">
        <v>0</v>
      </c>
      <c r="M136" s="46">
        <f t="shared" si="20"/>
        <v>0</v>
      </c>
      <c r="N136" s="48">
        <v>0</v>
      </c>
      <c r="O136" s="49">
        <f t="shared" si="21"/>
        <v>0</v>
      </c>
      <c r="P136" s="48">
        <f t="shared" si="18"/>
        <v>0</v>
      </c>
      <c r="Q136" s="50">
        <f t="shared" si="22"/>
        <v>0</v>
      </c>
      <c r="R136" s="48">
        <f t="shared" si="19"/>
        <v>0</v>
      </c>
      <c r="S136" s="51">
        <f t="shared" si="23"/>
        <v>0</v>
      </c>
    </row>
    <row r="137" spans="1:19" ht="13.5" customHeight="1">
      <c r="A137" s="102">
        <v>124</v>
      </c>
      <c r="B137" s="103" t="s">
        <v>138</v>
      </c>
      <c r="C137" s="151">
        <v>45.752045311516675</v>
      </c>
      <c r="D137" s="44">
        <v>358</v>
      </c>
      <c r="E137" s="45">
        <f>68+122</f>
        <v>190</v>
      </c>
      <c r="F137" s="46">
        <f t="shared" si="16"/>
        <v>53.072625698324025</v>
      </c>
      <c r="G137" s="47">
        <f>68+120</f>
        <v>188</v>
      </c>
      <c r="H137" s="48">
        <v>1</v>
      </c>
      <c r="I137" s="46">
        <f t="shared" si="17"/>
        <v>0.5319148936170213</v>
      </c>
      <c r="J137" s="48">
        <v>0</v>
      </c>
      <c r="K137" s="46">
        <f t="shared" si="17"/>
        <v>0</v>
      </c>
      <c r="L137" s="48">
        <v>0</v>
      </c>
      <c r="M137" s="46">
        <f t="shared" si="20"/>
        <v>0</v>
      </c>
      <c r="N137" s="48">
        <v>0</v>
      </c>
      <c r="O137" s="49">
        <f t="shared" si="21"/>
        <v>0</v>
      </c>
      <c r="P137" s="48">
        <f t="shared" si="18"/>
        <v>1</v>
      </c>
      <c r="Q137" s="50">
        <f t="shared" si="22"/>
        <v>0.5319148936170213</v>
      </c>
      <c r="R137" s="48">
        <f t="shared" si="19"/>
        <v>0</v>
      </c>
      <c r="S137" s="51">
        <f t="shared" si="23"/>
        <v>0</v>
      </c>
    </row>
    <row r="138" spans="1:19" ht="13.5" customHeight="1">
      <c r="A138" s="102">
        <v>125</v>
      </c>
      <c r="B138" s="103" t="s">
        <v>139</v>
      </c>
      <c r="C138" s="151">
        <v>57.82312925170068</v>
      </c>
      <c r="D138" s="44">
        <v>49</v>
      </c>
      <c r="E138" s="45">
        <v>4</v>
      </c>
      <c r="F138" s="46">
        <f t="shared" si="16"/>
        <v>8.16326530612245</v>
      </c>
      <c r="G138" s="47">
        <f>4+1</f>
        <v>5</v>
      </c>
      <c r="H138" s="48">
        <v>0</v>
      </c>
      <c r="I138" s="46">
        <f t="shared" si="17"/>
        <v>0</v>
      </c>
      <c r="J138" s="48">
        <v>1</v>
      </c>
      <c r="K138" s="46">
        <f t="shared" si="17"/>
        <v>20</v>
      </c>
      <c r="L138" s="48">
        <v>0</v>
      </c>
      <c r="M138" s="46">
        <f t="shared" si="20"/>
        <v>0</v>
      </c>
      <c r="N138" s="48">
        <v>0</v>
      </c>
      <c r="O138" s="49">
        <f t="shared" si="21"/>
        <v>0</v>
      </c>
      <c r="P138" s="48">
        <f t="shared" si="18"/>
        <v>1</v>
      </c>
      <c r="Q138" s="50">
        <f t="shared" si="22"/>
        <v>20</v>
      </c>
      <c r="R138" s="48">
        <f t="shared" si="19"/>
        <v>0</v>
      </c>
      <c r="S138" s="51">
        <f t="shared" si="23"/>
        <v>0</v>
      </c>
    </row>
    <row r="139" spans="1:19" ht="13.5" customHeight="1">
      <c r="A139" s="102">
        <v>126</v>
      </c>
      <c r="B139" s="103" t="s">
        <v>140</v>
      </c>
      <c r="C139" s="151">
        <v>31.794383626844358</v>
      </c>
      <c r="D139" s="44">
        <v>955</v>
      </c>
      <c r="E139" s="45">
        <f>253+242</f>
        <v>495</v>
      </c>
      <c r="F139" s="46">
        <f t="shared" si="16"/>
        <v>51.832460732984295</v>
      </c>
      <c r="G139" s="47">
        <f>247+246</f>
        <v>493</v>
      </c>
      <c r="H139" s="48">
        <f>1+3</f>
        <v>4</v>
      </c>
      <c r="I139" s="46">
        <f t="shared" si="17"/>
        <v>0.8113590263691683</v>
      </c>
      <c r="J139" s="48">
        <v>1</v>
      </c>
      <c r="K139" s="46">
        <f t="shared" si="17"/>
        <v>0.2028397565922921</v>
      </c>
      <c r="L139" s="48">
        <f>1+1</f>
        <v>2</v>
      </c>
      <c r="M139" s="46">
        <f t="shared" si="20"/>
        <v>0.4056795131845842</v>
      </c>
      <c r="N139" s="48">
        <v>0</v>
      </c>
      <c r="O139" s="49">
        <f t="shared" si="21"/>
        <v>0</v>
      </c>
      <c r="P139" s="48">
        <f t="shared" si="18"/>
        <v>7</v>
      </c>
      <c r="Q139" s="50">
        <f t="shared" si="22"/>
        <v>1.4198782961460445</v>
      </c>
      <c r="R139" s="48">
        <f t="shared" si="19"/>
        <v>2</v>
      </c>
      <c r="S139" s="51">
        <f t="shared" si="23"/>
        <v>0.4056795131845842</v>
      </c>
    </row>
    <row r="140" spans="1:19" ht="13.5" customHeight="1">
      <c r="A140" s="102">
        <v>127</v>
      </c>
      <c r="B140" s="103" t="s">
        <v>141</v>
      </c>
      <c r="C140" s="151">
        <v>31.818181818181817</v>
      </c>
      <c r="D140" s="44">
        <v>90</v>
      </c>
      <c r="E140" s="45">
        <f>12+5</f>
        <v>17</v>
      </c>
      <c r="F140" s="46">
        <f t="shared" si="16"/>
        <v>18.88888888888889</v>
      </c>
      <c r="G140" s="47">
        <f>12+5</f>
        <v>17</v>
      </c>
      <c r="H140" s="48">
        <v>0</v>
      </c>
      <c r="I140" s="46">
        <f t="shared" si="17"/>
        <v>0</v>
      </c>
      <c r="J140" s="48">
        <v>0</v>
      </c>
      <c r="K140" s="46">
        <f t="shared" si="17"/>
        <v>0</v>
      </c>
      <c r="L140" s="48">
        <v>0</v>
      </c>
      <c r="M140" s="46">
        <f t="shared" si="20"/>
        <v>0</v>
      </c>
      <c r="N140" s="48">
        <v>0</v>
      </c>
      <c r="O140" s="49">
        <f t="shared" si="21"/>
        <v>0</v>
      </c>
      <c r="P140" s="48">
        <f t="shared" si="18"/>
        <v>0</v>
      </c>
      <c r="Q140" s="50">
        <f t="shared" si="22"/>
        <v>0</v>
      </c>
      <c r="R140" s="48">
        <f t="shared" si="19"/>
        <v>0</v>
      </c>
      <c r="S140" s="51">
        <f t="shared" si="23"/>
        <v>0</v>
      </c>
    </row>
    <row r="141" spans="1:19" ht="13.5" customHeight="1">
      <c r="A141" s="102">
        <v>128</v>
      </c>
      <c r="B141" s="103" t="s">
        <v>142</v>
      </c>
      <c r="C141" s="151">
        <v>29.190982949994275</v>
      </c>
      <c r="D141" s="44">
        <v>647</v>
      </c>
      <c r="E141" s="45">
        <f>86+46</f>
        <v>132</v>
      </c>
      <c r="F141" s="46">
        <f t="shared" si="16"/>
        <v>20.401854714064914</v>
      </c>
      <c r="G141" s="47">
        <f>84+48</f>
        <v>132</v>
      </c>
      <c r="H141" s="48">
        <v>1</v>
      </c>
      <c r="I141" s="46">
        <f t="shared" si="17"/>
        <v>0.7575757575757576</v>
      </c>
      <c r="J141" s="48">
        <v>0</v>
      </c>
      <c r="K141" s="46">
        <f t="shared" si="17"/>
        <v>0</v>
      </c>
      <c r="L141" s="48">
        <v>0</v>
      </c>
      <c r="M141" s="46">
        <f aca="true" t="shared" si="24" ref="M141:M172">IF($G141=0,0,(L141/$G141)*100)</f>
        <v>0</v>
      </c>
      <c r="N141" s="48">
        <v>0</v>
      </c>
      <c r="O141" s="49">
        <f aca="true" t="shared" si="25" ref="O141:O172">IF($G141=0,0,(N141/$G141)*100)</f>
        <v>0</v>
      </c>
      <c r="P141" s="48">
        <f t="shared" si="18"/>
        <v>1</v>
      </c>
      <c r="Q141" s="50">
        <f aca="true" t="shared" si="26" ref="Q141:Q172">IF($G141=0,0,(P141/$G141)*100)</f>
        <v>0.7575757575757576</v>
      </c>
      <c r="R141" s="48">
        <f t="shared" si="19"/>
        <v>0</v>
      </c>
      <c r="S141" s="51">
        <f aca="true" t="shared" si="27" ref="S141:S172">IF($G141=0,0,(R141/$G141)*100)</f>
        <v>0</v>
      </c>
    </row>
    <row r="142" spans="1:19" ht="13.5" customHeight="1">
      <c r="A142" s="102">
        <v>129</v>
      </c>
      <c r="B142" s="103" t="s">
        <v>143</v>
      </c>
      <c r="C142" s="151">
        <v>32.27091633466135</v>
      </c>
      <c r="D142" s="44">
        <v>159</v>
      </c>
      <c r="E142" s="45">
        <f>21+17</f>
        <v>38</v>
      </c>
      <c r="F142" s="46">
        <f aca="true" t="shared" si="28" ref="F142:F182">(E142/$D142)*100</f>
        <v>23.89937106918239</v>
      </c>
      <c r="G142" s="47">
        <f>21+16</f>
        <v>37</v>
      </c>
      <c r="H142" s="48">
        <v>0</v>
      </c>
      <c r="I142" s="46">
        <f aca="true" t="shared" si="29" ref="I142:K182">IF($G142=0,0,(H142/$G142)*100)</f>
        <v>0</v>
      </c>
      <c r="J142" s="48">
        <v>0</v>
      </c>
      <c r="K142" s="46">
        <f t="shared" si="29"/>
        <v>0</v>
      </c>
      <c r="L142" s="48">
        <v>0</v>
      </c>
      <c r="M142" s="46">
        <f t="shared" si="24"/>
        <v>0</v>
      </c>
      <c r="N142" s="48">
        <v>0</v>
      </c>
      <c r="O142" s="49">
        <f t="shared" si="25"/>
        <v>0</v>
      </c>
      <c r="P142" s="48">
        <f aca="true" t="shared" si="30" ref="P142:P182">H142+J142+L142+N142</f>
        <v>0</v>
      </c>
      <c r="Q142" s="50">
        <f t="shared" si="26"/>
        <v>0</v>
      </c>
      <c r="R142" s="48">
        <f aca="true" t="shared" si="31" ref="R142:R182">L142+N142</f>
        <v>0</v>
      </c>
      <c r="S142" s="51">
        <f t="shared" si="27"/>
        <v>0</v>
      </c>
    </row>
    <row r="143" spans="1:19" ht="13.5" customHeight="1">
      <c r="A143" s="102">
        <v>130</v>
      </c>
      <c r="B143" s="103" t="s">
        <v>144</v>
      </c>
      <c r="C143" s="151">
        <v>17.540710347480445</v>
      </c>
      <c r="D143" s="44">
        <v>384</v>
      </c>
      <c r="E143" s="45">
        <f>127+80</f>
        <v>207</v>
      </c>
      <c r="F143" s="46">
        <f t="shared" si="28"/>
        <v>53.90625</v>
      </c>
      <c r="G143" s="47">
        <f>127+80</f>
        <v>207</v>
      </c>
      <c r="H143" s="48">
        <v>0</v>
      </c>
      <c r="I143" s="46">
        <f t="shared" si="29"/>
        <v>0</v>
      </c>
      <c r="J143" s="48">
        <v>0</v>
      </c>
      <c r="K143" s="46">
        <f t="shared" si="29"/>
        <v>0</v>
      </c>
      <c r="L143" s="48">
        <v>0</v>
      </c>
      <c r="M143" s="46">
        <f t="shared" si="24"/>
        <v>0</v>
      </c>
      <c r="N143" s="48">
        <v>0</v>
      </c>
      <c r="O143" s="49">
        <f t="shared" si="25"/>
        <v>0</v>
      </c>
      <c r="P143" s="48">
        <f t="shared" si="30"/>
        <v>0</v>
      </c>
      <c r="Q143" s="50">
        <f t="shared" si="26"/>
        <v>0</v>
      </c>
      <c r="R143" s="48">
        <f t="shared" si="31"/>
        <v>0</v>
      </c>
      <c r="S143" s="51">
        <f t="shared" si="27"/>
        <v>0</v>
      </c>
    </row>
    <row r="144" spans="1:19" ht="13.5" customHeight="1">
      <c r="A144" s="102">
        <v>131</v>
      </c>
      <c r="B144" s="103" t="s">
        <v>145</v>
      </c>
      <c r="C144" s="151">
        <v>33.81757408240663</v>
      </c>
      <c r="D144" s="44">
        <v>969</v>
      </c>
      <c r="E144" s="45">
        <f>171+100</f>
        <v>271</v>
      </c>
      <c r="F144" s="46">
        <f t="shared" si="28"/>
        <v>27.966976264189885</v>
      </c>
      <c r="G144" s="47">
        <f>172+101</f>
        <v>273</v>
      </c>
      <c r="H144" s="48">
        <v>1</v>
      </c>
      <c r="I144" s="46">
        <f t="shared" si="29"/>
        <v>0.3663003663003663</v>
      </c>
      <c r="J144" s="48">
        <v>0</v>
      </c>
      <c r="K144" s="46">
        <f t="shared" si="29"/>
        <v>0</v>
      </c>
      <c r="L144" s="48">
        <v>0</v>
      </c>
      <c r="M144" s="46">
        <f t="shared" si="24"/>
        <v>0</v>
      </c>
      <c r="N144" s="48">
        <v>0</v>
      </c>
      <c r="O144" s="49">
        <f t="shared" si="25"/>
        <v>0</v>
      </c>
      <c r="P144" s="48">
        <f t="shared" si="30"/>
        <v>1</v>
      </c>
      <c r="Q144" s="50">
        <f t="shared" si="26"/>
        <v>0.3663003663003663</v>
      </c>
      <c r="R144" s="48">
        <f t="shared" si="31"/>
        <v>0</v>
      </c>
      <c r="S144" s="51">
        <f t="shared" si="27"/>
        <v>0</v>
      </c>
    </row>
    <row r="145" spans="1:19" ht="13.5" customHeight="1">
      <c r="A145" s="102">
        <v>132</v>
      </c>
      <c r="B145" s="103" t="s">
        <v>146</v>
      </c>
      <c r="C145" s="151">
        <v>25.31938325991189</v>
      </c>
      <c r="D145" s="44">
        <v>586</v>
      </c>
      <c r="E145" s="45">
        <f>53+53</f>
        <v>106</v>
      </c>
      <c r="F145" s="46">
        <f t="shared" si="28"/>
        <v>18.088737201365188</v>
      </c>
      <c r="G145" s="47">
        <f>52+53</f>
        <v>105</v>
      </c>
      <c r="H145" s="48">
        <f>1+1</f>
        <v>2</v>
      </c>
      <c r="I145" s="46">
        <f t="shared" si="29"/>
        <v>1.9047619047619049</v>
      </c>
      <c r="J145" s="48">
        <v>0</v>
      </c>
      <c r="K145" s="46">
        <f t="shared" si="29"/>
        <v>0</v>
      </c>
      <c r="L145" s="48">
        <v>0</v>
      </c>
      <c r="M145" s="46">
        <f t="shared" si="24"/>
        <v>0</v>
      </c>
      <c r="N145" s="48">
        <v>0</v>
      </c>
      <c r="O145" s="49">
        <f t="shared" si="25"/>
        <v>0</v>
      </c>
      <c r="P145" s="48">
        <f t="shared" si="30"/>
        <v>2</v>
      </c>
      <c r="Q145" s="50">
        <f t="shared" si="26"/>
        <v>1.9047619047619049</v>
      </c>
      <c r="R145" s="48">
        <f t="shared" si="31"/>
        <v>0</v>
      </c>
      <c r="S145" s="51">
        <f t="shared" si="27"/>
        <v>0</v>
      </c>
    </row>
    <row r="146" spans="1:19" ht="13.5" customHeight="1">
      <c r="A146" s="102">
        <v>133</v>
      </c>
      <c r="B146" s="103" t="s">
        <v>147</v>
      </c>
      <c r="C146" s="151">
        <v>62.45704467353952</v>
      </c>
      <c r="D146" s="44">
        <v>55</v>
      </c>
      <c r="E146" s="45">
        <f>15+16</f>
        <v>31</v>
      </c>
      <c r="F146" s="46">
        <f t="shared" si="28"/>
        <v>56.36363636363636</v>
      </c>
      <c r="G146" s="47">
        <f>13+18</f>
        <v>31</v>
      </c>
      <c r="H146" s="48">
        <f>1+1</f>
        <v>2</v>
      </c>
      <c r="I146" s="46">
        <f t="shared" si="29"/>
        <v>6.451612903225806</v>
      </c>
      <c r="J146" s="48">
        <v>0</v>
      </c>
      <c r="K146" s="46">
        <f t="shared" si="29"/>
        <v>0</v>
      </c>
      <c r="L146" s="48">
        <v>0</v>
      </c>
      <c r="M146" s="46">
        <f t="shared" si="24"/>
        <v>0</v>
      </c>
      <c r="N146" s="48">
        <v>0</v>
      </c>
      <c r="O146" s="49">
        <f t="shared" si="25"/>
        <v>0</v>
      </c>
      <c r="P146" s="48">
        <f t="shared" si="30"/>
        <v>2</v>
      </c>
      <c r="Q146" s="50">
        <f t="shared" si="26"/>
        <v>6.451612903225806</v>
      </c>
      <c r="R146" s="48">
        <f t="shared" si="31"/>
        <v>0</v>
      </c>
      <c r="S146" s="51">
        <f t="shared" si="27"/>
        <v>0</v>
      </c>
    </row>
    <row r="147" spans="1:19" ht="13.5" customHeight="1">
      <c r="A147" s="102">
        <v>134</v>
      </c>
      <c r="B147" s="103" t="s">
        <v>148</v>
      </c>
      <c r="C147" s="151">
        <v>50.88975694444444</v>
      </c>
      <c r="D147" s="44">
        <v>255</v>
      </c>
      <c r="E147" s="45">
        <f>27+27</f>
        <v>54</v>
      </c>
      <c r="F147" s="46">
        <f t="shared" si="28"/>
        <v>21.176470588235293</v>
      </c>
      <c r="G147" s="47">
        <f>27+25</f>
        <v>52</v>
      </c>
      <c r="H147" s="48">
        <v>0</v>
      </c>
      <c r="I147" s="46">
        <f t="shared" si="29"/>
        <v>0</v>
      </c>
      <c r="J147" s="48">
        <v>0</v>
      </c>
      <c r="K147" s="46">
        <f t="shared" si="29"/>
        <v>0</v>
      </c>
      <c r="L147" s="48">
        <v>0</v>
      </c>
      <c r="M147" s="46">
        <f t="shared" si="24"/>
        <v>0</v>
      </c>
      <c r="N147" s="48">
        <v>0</v>
      </c>
      <c r="O147" s="49">
        <f t="shared" si="25"/>
        <v>0</v>
      </c>
      <c r="P147" s="48">
        <f t="shared" si="30"/>
        <v>0</v>
      </c>
      <c r="Q147" s="50">
        <f t="shared" si="26"/>
        <v>0</v>
      </c>
      <c r="R147" s="48">
        <f t="shared" si="31"/>
        <v>0</v>
      </c>
      <c r="S147" s="51">
        <f t="shared" si="27"/>
        <v>0</v>
      </c>
    </row>
    <row r="148" spans="1:19" ht="13.5" customHeight="1">
      <c r="A148" s="102">
        <v>135</v>
      </c>
      <c r="B148" s="103" t="s">
        <v>149</v>
      </c>
      <c r="C148" s="151">
        <v>44.75347126825454</v>
      </c>
      <c r="D148" s="44">
        <v>3209</v>
      </c>
      <c r="E148" s="45">
        <f>931+909</f>
        <v>1840</v>
      </c>
      <c r="F148" s="46">
        <f t="shared" si="28"/>
        <v>57.33873480835151</v>
      </c>
      <c r="G148" s="47">
        <f>927+925</f>
        <v>1852</v>
      </c>
      <c r="H148" s="48">
        <f>15+9</f>
        <v>24</v>
      </c>
      <c r="I148" s="46">
        <f t="shared" si="29"/>
        <v>1.2958963282937366</v>
      </c>
      <c r="J148" s="48">
        <f>2+2</f>
        <v>4</v>
      </c>
      <c r="K148" s="46">
        <f t="shared" si="29"/>
        <v>0.21598272138228944</v>
      </c>
      <c r="L148" s="48">
        <f>1+2</f>
        <v>3</v>
      </c>
      <c r="M148" s="46">
        <f t="shared" si="24"/>
        <v>0.16198704103671707</v>
      </c>
      <c r="N148" s="48">
        <v>0</v>
      </c>
      <c r="O148" s="49">
        <f t="shared" si="25"/>
        <v>0</v>
      </c>
      <c r="P148" s="48">
        <f t="shared" si="30"/>
        <v>31</v>
      </c>
      <c r="Q148" s="50">
        <f t="shared" si="26"/>
        <v>1.6738660907127432</v>
      </c>
      <c r="R148" s="48">
        <f t="shared" si="31"/>
        <v>3</v>
      </c>
      <c r="S148" s="51">
        <f t="shared" si="27"/>
        <v>0.16198704103671707</v>
      </c>
    </row>
    <row r="149" spans="1:19" ht="13.5" customHeight="1">
      <c r="A149" s="102">
        <v>136</v>
      </c>
      <c r="B149" s="103" t="s">
        <v>150</v>
      </c>
      <c r="C149" s="151">
        <v>36.127409891031014</v>
      </c>
      <c r="D149" s="44">
        <v>87</v>
      </c>
      <c r="E149" s="45">
        <f>39+25</f>
        <v>64</v>
      </c>
      <c r="F149" s="46">
        <f t="shared" si="28"/>
        <v>73.5632183908046</v>
      </c>
      <c r="G149" s="47">
        <f>41+25</f>
        <v>66</v>
      </c>
      <c r="H149" s="48">
        <v>0</v>
      </c>
      <c r="I149" s="46">
        <f t="shared" si="29"/>
        <v>0</v>
      </c>
      <c r="J149" s="48">
        <v>0</v>
      </c>
      <c r="K149" s="46">
        <f t="shared" si="29"/>
        <v>0</v>
      </c>
      <c r="L149" s="48">
        <v>0</v>
      </c>
      <c r="M149" s="46">
        <f t="shared" si="24"/>
        <v>0</v>
      </c>
      <c r="N149" s="48">
        <v>0</v>
      </c>
      <c r="O149" s="49">
        <f t="shared" si="25"/>
        <v>0</v>
      </c>
      <c r="P149" s="48">
        <f t="shared" si="30"/>
        <v>0</v>
      </c>
      <c r="Q149" s="50">
        <f t="shared" si="26"/>
        <v>0</v>
      </c>
      <c r="R149" s="48">
        <f t="shared" si="31"/>
        <v>0</v>
      </c>
      <c r="S149" s="51">
        <f t="shared" si="27"/>
        <v>0</v>
      </c>
    </row>
    <row r="150" spans="1:19" ht="13.5" customHeight="1">
      <c r="A150" s="102">
        <v>137</v>
      </c>
      <c r="B150" s="103" t="s">
        <v>151</v>
      </c>
      <c r="C150" s="151">
        <v>54.32429286462577</v>
      </c>
      <c r="D150" s="44">
        <v>366</v>
      </c>
      <c r="E150" s="45">
        <f>95+54</f>
        <v>149</v>
      </c>
      <c r="F150" s="46">
        <f t="shared" si="28"/>
        <v>40.7103825136612</v>
      </c>
      <c r="G150" s="47">
        <f>95+54</f>
        <v>149</v>
      </c>
      <c r="H150" s="48">
        <v>1</v>
      </c>
      <c r="I150" s="46">
        <f t="shared" si="29"/>
        <v>0.6711409395973155</v>
      </c>
      <c r="J150" s="48">
        <v>0</v>
      </c>
      <c r="K150" s="46">
        <f t="shared" si="29"/>
        <v>0</v>
      </c>
      <c r="L150" s="48">
        <v>0</v>
      </c>
      <c r="M150" s="46">
        <f t="shared" si="24"/>
        <v>0</v>
      </c>
      <c r="N150" s="48">
        <v>0</v>
      </c>
      <c r="O150" s="49">
        <f t="shared" si="25"/>
        <v>0</v>
      </c>
      <c r="P150" s="48">
        <f t="shared" si="30"/>
        <v>1</v>
      </c>
      <c r="Q150" s="50">
        <f t="shared" si="26"/>
        <v>0.6711409395973155</v>
      </c>
      <c r="R150" s="48">
        <f t="shared" si="31"/>
        <v>0</v>
      </c>
      <c r="S150" s="51">
        <f t="shared" si="27"/>
        <v>0</v>
      </c>
    </row>
    <row r="151" spans="1:19" ht="13.5" customHeight="1">
      <c r="A151" s="102">
        <v>138</v>
      </c>
      <c r="B151" s="103" t="s">
        <v>152</v>
      </c>
      <c r="C151" s="151">
        <v>61.54107593707516</v>
      </c>
      <c r="D151" s="44">
        <v>1140</v>
      </c>
      <c r="E151" s="45">
        <f>300+302</f>
        <v>602</v>
      </c>
      <c r="F151" s="46">
        <f t="shared" si="28"/>
        <v>52.807017543859644</v>
      </c>
      <c r="G151" s="47">
        <f>292+304</f>
        <v>596</v>
      </c>
      <c r="H151" s="48">
        <f>1+4</f>
        <v>5</v>
      </c>
      <c r="I151" s="46">
        <f t="shared" si="29"/>
        <v>0.8389261744966443</v>
      </c>
      <c r="J151" s="48">
        <v>1</v>
      </c>
      <c r="K151" s="46">
        <f t="shared" si="29"/>
        <v>0.16778523489932887</v>
      </c>
      <c r="L151" s="48">
        <f>2+1</f>
        <v>3</v>
      </c>
      <c r="M151" s="46">
        <f t="shared" si="24"/>
        <v>0.5033557046979865</v>
      </c>
      <c r="N151" s="48">
        <v>0</v>
      </c>
      <c r="O151" s="49">
        <f t="shared" si="25"/>
        <v>0</v>
      </c>
      <c r="P151" s="48">
        <f t="shared" si="30"/>
        <v>9</v>
      </c>
      <c r="Q151" s="50">
        <f t="shared" si="26"/>
        <v>1.5100671140939599</v>
      </c>
      <c r="R151" s="48">
        <f t="shared" si="31"/>
        <v>3</v>
      </c>
      <c r="S151" s="51">
        <f t="shared" si="27"/>
        <v>0.5033557046979865</v>
      </c>
    </row>
    <row r="152" spans="1:19" ht="13.5" customHeight="1">
      <c r="A152" s="102">
        <v>139</v>
      </c>
      <c r="B152" s="103" t="s">
        <v>153</v>
      </c>
      <c r="C152" s="151">
        <v>40.7376880280239</v>
      </c>
      <c r="D152" s="44">
        <v>276</v>
      </c>
      <c r="E152" s="45">
        <f>34+32</f>
        <v>66</v>
      </c>
      <c r="F152" s="46">
        <f t="shared" si="28"/>
        <v>23.91304347826087</v>
      </c>
      <c r="G152" s="47">
        <f>34+32</f>
        <v>66</v>
      </c>
      <c r="H152" s="48">
        <v>0</v>
      </c>
      <c r="I152" s="46">
        <f t="shared" si="29"/>
        <v>0</v>
      </c>
      <c r="J152" s="48">
        <v>0</v>
      </c>
      <c r="K152" s="46">
        <f t="shared" si="29"/>
        <v>0</v>
      </c>
      <c r="L152" s="48">
        <v>0</v>
      </c>
      <c r="M152" s="46">
        <f t="shared" si="24"/>
        <v>0</v>
      </c>
      <c r="N152" s="48">
        <v>0</v>
      </c>
      <c r="O152" s="49">
        <f t="shared" si="25"/>
        <v>0</v>
      </c>
      <c r="P152" s="48">
        <f t="shared" si="30"/>
        <v>0</v>
      </c>
      <c r="Q152" s="50">
        <f t="shared" si="26"/>
        <v>0</v>
      </c>
      <c r="R152" s="48">
        <f t="shared" si="31"/>
        <v>0</v>
      </c>
      <c r="S152" s="51">
        <f t="shared" si="27"/>
        <v>0</v>
      </c>
    </row>
    <row r="153" spans="1:19" ht="13.5" customHeight="1">
      <c r="A153" s="102">
        <v>140</v>
      </c>
      <c r="B153" s="103" t="s">
        <v>154</v>
      </c>
      <c r="C153" s="151">
        <v>49.20371599203716</v>
      </c>
      <c r="D153" s="44">
        <v>177</v>
      </c>
      <c r="E153" s="45">
        <f>43+14</f>
        <v>57</v>
      </c>
      <c r="F153" s="46">
        <f t="shared" si="28"/>
        <v>32.20338983050847</v>
      </c>
      <c r="G153" s="47">
        <f>44+14</f>
        <v>58</v>
      </c>
      <c r="H153" s="48">
        <v>0</v>
      </c>
      <c r="I153" s="46">
        <f t="shared" si="29"/>
        <v>0</v>
      </c>
      <c r="J153" s="48">
        <v>0</v>
      </c>
      <c r="K153" s="46">
        <f t="shared" si="29"/>
        <v>0</v>
      </c>
      <c r="L153" s="48">
        <v>0</v>
      </c>
      <c r="M153" s="46">
        <f t="shared" si="24"/>
        <v>0</v>
      </c>
      <c r="N153" s="48">
        <v>0</v>
      </c>
      <c r="O153" s="49">
        <f t="shared" si="25"/>
        <v>0</v>
      </c>
      <c r="P153" s="48">
        <f t="shared" si="30"/>
        <v>0</v>
      </c>
      <c r="Q153" s="50">
        <f t="shared" si="26"/>
        <v>0</v>
      </c>
      <c r="R153" s="48">
        <f t="shared" si="31"/>
        <v>0</v>
      </c>
      <c r="S153" s="51">
        <f t="shared" si="27"/>
        <v>0</v>
      </c>
    </row>
    <row r="154" spans="1:19" ht="13.5" customHeight="1">
      <c r="A154" s="102">
        <v>141</v>
      </c>
      <c r="B154" s="103" t="s">
        <v>155</v>
      </c>
      <c r="C154" s="151">
        <v>49.83827493261456</v>
      </c>
      <c r="D154" s="44">
        <v>191</v>
      </c>
      <c r="E154" s="45">
        <f>40+31</f>
        <v>71</v>
      </c>
      <c r="F154" s="46">
        <f t="shared" si="28"/>
        <v>37.17277486910995</v>
      </c>
      <c r="G154" s="47">
        <f>38+31</f>
        <v>69</v>
      </c>
      <c r="H154" s="48">
        <v>1</v>
      </c>
      <c r="I154" s="46">
        <f t="shared" si="29"/>
        <v>1.4492753623188406</v>
      </c>
      <c r="J154" s="48">
        <v>0</v>
      </c>
      <c r="K154" s="46">
        <f t="shared" si="29"/>
        <v>0</v>
      </c>
      <c r="L154" s="48">
        <v>0</v>
      </c>
      <c r="M154" s="46">
        <f t="shared" si="24"/>
        <v>0</v>
      </c>
      <c r="N154" s="48">
        <v>0</v>
      </c>
      <c r="O154" s="49">
        <f t="shared" si="25"/>
        <v>0</v>
      </c>
      <c r="P154" s="48">
        <f t="shared" si="30"/>
        <v>1</v>
      </c>
      <c r="Q154" s="50">
        <f t="shared" si="26"/>
        <v>1.4492753623188406</v>
      </c>
      <c r="R154" s="48">
        <f t="shared" si="31"/>
        <v>0</v>
      </c>
      <c r="S154" s="51">
        <f t="shared" si="27"/>
        <v>0</v>
      </c>
    </row>
    <row r="155" spans="1:19" ht="13.5" customHeight="1">
      <c r="A155" s="102">
        <v>142</v>
      </c>
      <c r="B155" s="103" t="s">
        <v>156</v>
      </c>
      <c r="C155" s="151">
        <v>17.942122186495176</v>
      </c>
      <c r="D155" s="44">
        <v>396</v>
      </c>
      <c r="E155" s="45">
        <f>39+18</f>
        <v>57</v>
      </c>
      <c r="F155" s="46">
        <f t="shared" si="28"/>
        <v>14.393939393939394</v>
      </c>
      <c r="G155" s="47">
        <f>39+17</f>
        <v>56</v>
      </c>
      <c r="H155" s="48">
        <v>0</v>
      </c>
      <c r="I155" s="46">
        <f t="shared" si="29"/>
        <v>0</v>
      </c>
      <c r="J155" s="48">
        <v>0</v>
      </c>
      <c r="K155" s="46">
        <f t="shared" si="29"/>
        <v>0</v>
      </c>
      <c r="L155" s="48">
        <v>0</v>
      </c>
      <c r="M155" s="46">
        <f t="shared" si="24"/>
        <v>0</v>
      </c>
      <c r="N155" s="48">
        <v>0</v>
      </c>
      <c r="O155" s="49">
        <f t="shared" si="25"/>
        <v>0</v>
      </c>
      <c r="P155" s="48">
        <f t="shared" si="30"/>
        <v>0</v>
      </c>
      <c r="Q155" s="50">
        <f t="shared" si="26"/>
        <v>0</v>
      </c>
      <c r="R155" s="48">
        <f t="shared" si="31"/>
        <v>0</v>
      </c>
      <c r="S155" s="51">
        <f t="shared" si="27"/>
        <v>0</v>
      </c>
    </row>
    <row r="156" spans="1:19" ht="13.5" customHeight="1">
      <c r="A156" s="102">
        <v>143</v>
      </c>
      <c r="B156" s="103" t="s">
        <v>157</v>
      </c>
      <c r="C156" s="151">
        <v>56.988914349414756</v>
      </c>
      <c r="D156" s="44">
        <v>843</v>
      </c>
      <c r="E156" s="45">
        <f>43+19</f>
        <v>62</v>
      </c>
      <c r="F156" s="46">
        <f t="shared" si="28"/>
        <v>7.354685646500593</v>
      </c>
      <c r="G156" s="47">
        <f>43+23</f>
        <v>66</v>
      </c>
      <c r="H156" s="48">
        <v>1</v>
      </c>
      <c r="I156" s="46">
        <f t="shared" si="29"/>
        <v>1.5151515151515151</v>
      </c>
      <c r="J156" s="48">
        <f>1+2</f>
        <v>3</v>
      </c>
      <c r="K156" s="46">
        <f t="shared" si="29"/>
        <v>4.545454545454546</v>
      </c>
      <c r="L156" s="48">
        <v>1</v>
      </c>
      <c r="M156" s="46">
        <f t="shared" si="24"/>
        <v>1.5151515151515151</v>
      </c>
      <c r="N156" s="48">
        <v>0</v>
      </c>
      <c r="O156" s="49">
        <f t="shared" si="25"/>
        <v>0</v>
      </c>
      <c r="P156" s="48">
        <f t="shared" si="30"/>
        <v>5</v>
      </c>
      <c r="Q156" s="50">
        <f t="shared" si="26"/>
        <v>7.575757575757576</v>
      </c>
      <c r="R156" s="48">
        <f t="shared" si="31"/>
        <v>1</v>
      </c>
      <c r="S156" s="51">
        <f t="shared" si="27"/>
        <v>1.5151515151515151</v>
      </c>
    </row>
    <row r="157" spans="1:19" ht="13.5" customHeight="1">
      <c r="A157" s="102">
        <v>144</v>
      </c>
      <c r="B157" s="103" t="s">
        <v>158</v>
      </c>
      <c r="C157" s="151">
        <v>42.65625</v>
      </c>
      <c r="D157" s="44">
        <v>947</v>
      </c>
      <c r="E157" s="45">
        <f>254+204</f>
        <v>458</v>
      </c>
      <c r="F157" s="46">
        <f t="shared" si="28"/>
        <v>48.36325237592397</v>
      </c>
      <c r="G157" s="47">
        <f>249+209</f>
        <v>458</v>
      </c>
      <c r="H157" s="48">
        <f>1+1</f>
        <v>2</v>
      </c>
      <c r="I157" s="46">
        <f t="shared" si="29"/>
        <v>0.43668122270742354</v>
      </c>
      <c r="J157" s="48">
        <v>0</v>
      </c>
      <c r="K157" s="46">
        <f t="shared" si="29"/>
        <v>0</v>
      </c>
      <c r="L157" s="48">
        <v>1</v>
      </c>
      <c r="M157" s="46">
        <f t="shared" si="24"/>
        <v>0.21834061135371177</v>
      </c>
      <c r="N157" s="48">
        <v>0</v>
      </c>
      <c r="O157" s="49">
        <f t="shared" si="25"/>
        <v>0</v>
      </c>
      <c r="P157" s="48">
        <f t="shared" si="30"/>
        <v>3</v>
      </c>
      <c r="Q157" s="50">
        <f t="shared" si="26"/>
        <v>0.6550218340611353</v>
      </c>
      <c r="R157" s="48">
        <f t="shared" si="31"/>
        <v>1</v>
      </c>
      <c r="S157" s="51">
        <f t="shared" si="27"/>
        <v>0.21834061135371177</v>
      </c>
    </row>
    <row r="158" spans="1:19" ht="13.5" customHeight="1">
      <c r="A158" s="102">
        <v>145</v>
      </c>
      <c r="B158" s="103" t="s">
        <v>159</v>
      </c>
      <c r="C158" s="151">
        <v>43.8235294117647</v>
      </c>
      <c r="D158" s="44">
        <v>20</v>
      </c>
      <c r="E158" s="45">
        <f>1+1</f>
        <v>2</v>
      </c>
      <c r="F158" s="46">
        <f t="shared" si="28"/>
        <v>10</v>
      </c>
      <c r="G158" s="47">
        <f>1+1</f>
        <v>2</v>
      </c>
      <c r="H158" s="48">
        <v>0</v>
      </c>
      <c r="I158" s="46">
        <f t="shared" si="29"/>
        <v>0</v>
      </c>
      <c r="J158" s="48">
        <v>0</v>
      </c>
      <c r="K158" s="46">
        <f t="shared" si="29"/>
        <v>0</v>
      </c>
      <c r="L158" s="48">
        <v>0</v>
      </c>
      <c r="M158" s="46">
        <f t="shared" si="24"/>
        <v>0</v>
      </c>
      <c r="N158" s="48">
        <v>0</v>
      </c>
      <c r="O158" s="49">
        <f t="shared" si="25"/>
        <v>0</v>
      </c>
      <c r="P158" s="48">
        <f t="shared" si="30"/>
        <v>0</v>
      </c>
      <c r="Q158" s="50">
        <f t="shared" si="26"/>
        <v>0</v>
      </c>
      <c r="R158" s="48">
        <f t="shared" si="31"/>
        <v>0</v>
      </c>
      <c r="S158" s="51">
        <f t="shared" si="27"/>
        <v>0</v>
      </c>
    </row>
    <row r="159" spans="1:19" ht="13.5" customHeight="1">
      <c r="A159" s="102">
        <v>146</v>
      </c>
      <c r="B159" s="103" t="s">
        <v>160</v>
      </c>
      <c r="C159" s="151">
        <v>39.76062796300614</v>
      </c>
      <c r="D159" s="44">
        <v>686</v>
      </c>
      <c r="E159" s="45">
        <f>110+68</f>
        <v>178</v>
      </c>
      <c r="F159" s="46">
        <f t="shared" si="28"/>
        <v>25.94752186588921</v>
      </c>
      <c r="G159" s="47">
        <f>109+69</f>
        <v>178</v>
      </c>
      <c r="H159" s="48">
        <v>1</v>
      </c>
      <c r="I159" s="46">
        <f t="shared" si="29"/>
        <v>0.5617977528089888</v>
      </c>
      <c r="J159" s="48">
        <f>1+1</f>
        <v>2</v>
      </c>
      <c r="K159" s="46">
        <f t="shared" si="29"/>
        <v>1.1235955056179776</v>
      </c>
      <c r="L159" s="48">
        <f>1+1</f>
        <v>2</v>
      </c>
      <c r="M159" s="46">
        <f t="shared" si="24"/>
        <v>1.1235955056179776</v>
      </c>
      <c r="N159" s="48">
        <v>0</v>
      </c>
      <c r="O159" s="49">
        <f t="shared" si="25"/>
        <v>0</v>
      </c>
      <c r="P159" s="48">
        <f t="shared" si="30"/>
        <v>5</v>
      </c>
      <c r="Q159" s="50">
        <f t="shared" si="26"/>
        <v>2.8089887640449436</v>
      </c>
      <c r="R159" s="48">
        <f t="shared" si="31"/>
        <v>2</v>
      </c>
      <c r="S159" s="51">
        <f t="shared" si="27"/>
        <v>1.1235955056179776</v>
      </c>
    </row>
    <row r="160" spans="1:19" ht="13.5" customHeight="1">
      <c r="A160" s="102">
        <v>147</v>
      </c>
      <c r="B160" s="103" t="s">
        <v>161</v>
      </c>
      <c r="C160" s="151">
        <v>37.03024747937672</v>
      </c>
      <c r="D160" s="44">
        <v>59</v>
      </c>
      <c r="E160" s="45">
        <f>19+15</f>
        <v>34</v>
      </c>
      <c r="F160" s="46">
        <f t="shared" si="28"/>
        <v>57.6271186440678</v>
      </c>
      <c r="G160" s="47">
        <f>17+16</f>
        <v>33</v>
      </c>
      <c r="H160" s="48">
        <v>0</v>
      </c>
      <c r="I160" s="46">
        <f t="shared" si="29"/>
        <v>0</v>
      </c>
      <c r="J160" s="48">
        <v>0</v>
      </c>
      <c r="K160" s="46">
        <f t="shared" si="29"/>
        <v>0</v>
      </c>
      <c r="L160" s="48">
        <v>0</v>
      </c>
      <c r="M160" s="46">
        <f t="shared" si="24"/>
        <v>0</v>
      </c>
      <c r="N160" s="48">
        <v>0</v>
      </c>
      <c r="O160" s="49">
        <f t="shared" si="25"/>
        <v>0</v>
      </c>
      <c r="P160" s="48">
        <f t="shared" si="30"/>
        <v>0</v>
      </c>
      <c r="Q160" s="50">
        <f t="shared" si="26"/>
        <v>0</v>
      </c>
      <c r="R160" s="48">
        <f t="shared" si="31"/>
        <v>0</v>
      </c>
      <c r="S160" s="51">
        <f t="shared" si="27"/>
        <v>0</v>
      </c>
    </row>
    <row r="161" spans="1:19" ht="13.5" customHeight="1">
      <c r="A161" s="102">
        <v>148</v>
      </c>
      <c r="B161" s="103" t="s">
        <v>162</v>
      </c>
      <c r="C161" s="151">
        <v>45.74136137755691</v>
      </c>
      <c r="D161" s="44">
        <v>1053</v>
      </c>
      <c r="E161" s="45">
        <f>312+204</f>
        <v>516</v>
      </c>
      <c r="F161" s="46">
        <f t="shared" si="28"/>
        <v>49.002849002849004</v>
      </c>
      <c r="G161" s="47">
        <f>312+204</f>
        <v>516</v>
      </c>
      <c r="H161" s="48">
        <v>3</v>
      </c>
      <c r="I161" s="46">
        <f t="shared" si="29"/>
        <v>0.5813953488372093</v>
      </c>
      <c r="J161" s="48">
        <v>0</v>
      </c>
      <c r="K161" s="46">
        <f t="shared" si="29"/>
        <v>0</v>
      </c>
      <c r="L161" s="48">
        <v>0</v>
      </c>
      <c r="M161" s="46">
        <f t="shared" si="24"/>
        <v>0</v>
      </c>
      <c r="N161" s="48">
        <v>0</v>
      </c>
      <c r="O161" s="49">
        <f t="shared" si="25"/>
        <v>0</v>
      </c>
      <c r="P161" s="48">
        <f t="shared" si="30"/>
        <v>3</v>
      </c>
      <c r="Q161" s="50">
        <f t="shared" si="26"/>
        <v>0.5813953488372093</v>
      </c>
      <c r="R161" s="48">
        <f t="shared" si="31"/>
        <v>0</v>
      </c>
      <c r="S161" s="51">
        <f t="shared" si="27"/>
        <v>0</v>
      </c>
    </row>
    <row r="162" spans="1:19" ht="13.5" customHeight="1">
      <c r="A162" s="102">
        <v>149</v>
      </c>
      <c r="B162" s="103" t="s">
        <v>163</v>
      </c>
      <c r="C162" s="151">
        <v>44</v>
      </c>
      <c r="D162" s="44">
        <v>28</v>
      </c>
      <c r="E162" s="45">
        <v>5</v>
      </c>
      <c r="F162" s="46">
        <f t="shared" si="28"/>
        <v>17.857142857142858</v>
      </c>
      <c r="G162" s="47">
        <v>5</v>
      </c>
      <c r="H162" s="48">
        <v>0</v>
      </c>
      <c r="I162" s="46">
        <f t="shared" si="29"/>
        <v>0</v>
      </c>
      <c r="J162" s="48">
        <v>0</v>
      </c>
      <c r="K162" s="46">
        <f t="shared" si="29"/>
        <v>0</v>
      </c>
      <c r="L162" s="48">
        <v>0</v>
      </c>
      <c r="M162" s="46">
        <f t="shared" si="24"/>
        <v>0</v>
      </c>
      <c r="N162" s="48">
        <v>0</v>
      </c>
      <c r="O162" s="49">
        <f t="shared" si="25"/>
        <v>0</v>
      </c>
      <c r="P162" s="48">
        <f t="shared" si="30"/>
        <v>0</v>
      </c>
      <c r="Q162" s="50">
        <f t="shared" si="26"/>
        <v>0</v>
      </c>
      <c r="R162" s="48">
        <f t="shared" si="31"/>
        <v>0</v>
      </c>
      <c r="S162" s="51">
        <f t="shared" si="27"/>
        <v>0</v>
      </c>
    </row>
    <row r="163" spans="1:19" ht="13.5" customHeight="1">
      <c r="A163" s="102">
        <v>150</v>
      </c>
      <c r="B163" s="103" t="s">
        <v>164</v>
      </c>
      <c r="C163" s="151">
        <v>55.44217687074829</v>
      </c>
      <c r="D163" s="44">
        <v>49</v>
      </c>
      <c r="E163" s="45">
        <f>23+1</f>
        <v>24</v>
      </c>
      <c r="F163" s="46">
        <f t="shared" si="28"/>
        <v>48.97959183673469</v>
      </c>
      <c r="G163" s="47">
        <f>23+1</f>
        <v>24</v>
      </c>
      <c r="H163" s="48">
        <v>0</v>
      </c>
      <c r="I163" s="46">
        <f t="shared" si="29"/>
        <v>0</v>
      </c>
      <c r="J163" s="48">
        <v>0</v>
      </c>
      <c r="K163" s="46">
        <f t="shared" si="29"/>
        <v>0</v>
      </c>
      <c r="L163" s="48">
        <v>0</v>
      </c>
      <c r="M163" s="46">
        <f t="shared" si="24"/>
        <v>0</v>
      </c>
      <c r="N163" s="48">
        <v>0</v>
      </c>
      <c r="O163" s="49">
        <f t="shared" si="25"/>
        <v>0</v>
      </c>
      <c r="P163" s="48">
        <f t="shared" si="30"/>
        <v>0</v>
      </c>
      <c r="Q163" s="50">
        <f t="shared" si="26"/>
        <v>0</v>
      </c>
      <c r="R163" s="48">
        <f t="shared" si="31"/>
        <v>0</v>
      </c>
      <c r="S163" s="51">
        <f t="shared" si="27"/>
        <v>0</v>
      </c>
    </row>
    <row r="164" spans="1:19" ht="13.5" customHeight="1">
      <c r="A164" s="102">
        <v>151</v>
      </c>
      <c r="B164" s="103" t="s">
        <v>165</v>
      </c>
      <c r="C164" s="151">
        <v>55.216007858713986</v>
      </c>
      <c r="D164" s="44">
        <v>3266</v>
      </c>
      <c r="E164" s="45">
        <f>1122+779</f>
        <v>1901</v>
      </c>
      <c r="F164" s="46">
        <f t="shared" si="28"/>
        <v>58.205756276791185</v>
      </c>
      <c r="G164" s="47">
        <f>1106+757</f>
        <v>1863</v>
      </c>
      <c r="H164" s="48">
        <f>19+16</f>
        <v>35</v>
      </c>
      <c r="I164" s="46">
        <f t="shared" si="29"/>
        <v>1.8786902844873858</v>
      </c>
      <c r="J164" s="48">
        <f>5+10</f>
        <v>15</v>
      </c>
      <c r="K164" s="46">
        <f t="shared" si="29"/>
        <v>0.8051529790660225</v>
      </c>
      <c r="L164" s="48">
        <f>4+9</f>
        <v>13</v>
      </c>
      <c r="M164" s="46">
        <f t="shared" si="24"/>
        <v>0.6977992485238862</v>
      </c>
      <c r="N164" s="48">
        <v>1</v>
      </c>
      <c r="O164" s="49">
        <f t="shared" si="25"/>
        <v>0.05367686527106817</v>
      </c>
      <c r="P164" s="48">
        <f t="shared" si="30"/>
        <v>64</v>
      </c>
      <c r="Q164" s="50">
        <f t="shared" si="26"/>
        <v>3.435319377348363</v>
      </c>
      <c r="R164" s="48">
        <f t="shared" si="31"/>
        <v>14</v>
      </c>
      <c r="S164" s="51">
        <f t="shared" si="27"/>
        <v>0.7514761137949544</v>
      </c>
    </row>
    <row r="165" spans="1:19" ht="13.5" customHeight="1">
      <c r="A165" s="102">
        <v>152</v>
      </c>
      <c r="B165" s="103" t="s">
        <v>166</v>
      </c>
      <c r="C165" s="151">
        <v>49.83721512647132</v>
      </c>
      <c r="D165" s="44">
        <v>348</v>
      </c>
      <c r="E165" s="45">
        <f>73+33</f>
        <v>106</v>
      </c>
      <c r="F165" s="46">
        <f t="shared" si="28"/>
        <v>30.45977011494253</v>
      </c>
      <c r="G165" s="47">
        <f>73+34</f>
        <v>107</v>
      </c>
      <c r="H165" s="48">
        <f>1+1</f>
        <v>2</v>
      </c>
      <c r="I165" s="46">
        <f t="shared" si="29"/>
        <v>1.8691588785046727</v>
      </c>
      <c r="J165" s="48">
        <v>0</v>
      </c>
      <c r="K165" s="46">
        <f t="shared" si="29"/>
        <v>0</v>
      </c>
      <c r="L165" s="48">
        <v>0</v>
      </c>
      <c r="M165" s="46">
        <f t="shared" si="24"/>
        <v>0</v>
      </c>
      <c r="N165" s="48">
        <v>0</v>
      </c>
      <c r="O165" s="49">
        <f t="shared" si="25"/>
        <v>0</v>
      </c>
      <c r="P165" s="48">
        <f t="shared" si="30"/>
        <v>2</v>
      </c>
      <c r="Q165" s="50">
        <f t="shared" si="26"/>
        <v>1.8691588785046727</v>
      </c>
      <c r="R165" s="48">
        <f t="shared" si="31"/>
        <v>0</v>
      </c>
      <c r="S165" s="51">
        <f t="shared" si="27"/>
        <v>0</v>
      </c>
    </row>
    <row r="166" spans="1:19" ht="13.5" customHeight="1">
      <c r="A166" s="102">
        <v>153</v>
      </c>
      <c r="B166" s="103" t="s">
        <v>167</v>
      </c>
      <c r="C166" s="151">
        <v>48.5177151120752</v>
      </c>
      <c r="D166" s="44">
        <v>457</v>
      </c>
      <c r="E166" s="45">
        <f>121+53</f>
        <v>174</v>
      </c>
      <c r="F166" s="46">
        <f t="shared" si="28"/>
        <v>38.074398249452955</v>
      </c>
      <c r="G166" s="47">
        <f>122+52</f>
        <v>174</v>
      </c>
      <c r="H166" s="48">
        <v>0</v>
      </c>
      <c r="I166" s="46">
        <f t="shared" si="29"/>
        <v>0</v>
      </c>
      <c r="J166" s="48">
        <v>1</v>
      </c>
      <c r="K166" s="46">
        <f t="shared" si="29"/>
        <v>0.5747126436781609</v>
      </c>
      <c r="L166" s="48">
        <v>0</v>
      </c>
      <c r="M166" s="46">
        <f t="shared" si="24"/>
        <v>0</v>
      </c>
      <c r="N166" s="48">
        <v>0</v>
      </c>
      <c r="O166" s="49">
        <f t="shared" si="25"/>
        <v>0</v>
      </c>
      <c r="P166" s="48">
        <f t="shared" si="30"/>
        <v>1</v>
      </c>
      <c r="Q166" s="50">
        <f t="shared" si="26"/>
        <v>0.5747126436781609</v>
      </c>
      <c r="R166" s="48">
        <f t="shared" si="31"/>
        <v>0</v>
      </c>
      <c r="S166" s="51">
        <f t="shared" si="27"/>
        <v>0</v>
      </c>
    </row>
    <row r="167" spans="1:19" ht="13.5" customHeight="1">
      <c r="A167" s="102">
        <v>154</v>
      </c>
      <c r="B167" s="103" t="s">
        <v>168</v>
      </c>
      <c r="C167" s="151">
        <v>42.60115606936416</v>
      </c>
      <c r="D167" s="44">
        <v>122</v>
      </c>
      <c r="E167" s="45">
        <f>31+36</f>
        <v>67</v>
      </c>
      <c r="F167" s="46">
        <f t="shared" si="28"/>
        <v>54.91803278688525</v>
      </c>
      <c r="G167" s="47">
        <f>32+36</f>
        <v>68</v>
      </c>
      <c r="H167" s="48">
        <v>0</v>
      </c>
      <c r="I167" s="46">
        <f t="shared" si="29"/>
        <v>0</v>
      </c>
      <c r="J167" s="48">
        <v>1</v>
      </c>
      <c r="K167" s="46">
        <f t="shared" si="29"/>
        <v>1.4705882352941175</v>
      </c>
      <c r="L167" s="48">
        <v>1</v>
      </c>
      <c r="M167" s="46">
        <f t="shared" si="24"/>
        <v>1.4705882352941175</v>
      </c>
      <c r="N167" s="48">
        <v>0</v>
      </c>
      <c r="O167" s="49">
        <f t="shared" si="25"/>
        <v>0</v>
      </c>
      <c r="P167" s="48">
        <f t="shared" si="30"/>
        <v>2</v>
      </c>
      <c r="Q167" s="50">
        <f t="shared" si="26"/>
        <v>2.941176470588235</v>
      </c>
      <c r="R167" s="48">
        <f t="shared" si="31"/>
        <v>1</v>
      </c>
      <c r="S167" s="51">
        <f t="shared" si="27"/>
        <v>1.4705882352941175</v>
      </c>
    </row>
    <row r="168" spans="1:19" ht="13.5" customHeight="1">
      <c r="A168" s="102">
        <v>155</v>
      </c>
      <c r="B168" s="103" t="s">
        <v>169</v>
      </c>
      <c r="C168" s="151">
        <v>71.51823780198959</v>
      </c>
      <c r="D168" s="44">
        <v>1437</v>
      </c>
      <c r="E168" s="45">
        <f>267+132</f>
        <v>399</v>
      </c>
      <c r="F168" s="46">
        <f t="shared" si="28"/>
        <v>27.766179540709814</v>
      </c>
      <c r="G168" s="47">
        <f>267+137</f>
        <v>404</v>
      </c>
      <c r="H168" s="48">
        <f>2+1</f>
        <v>3</v>
      </c>
      <c r="I168" s="46">
        <f t="shared" si="29"/>
        <v>0.7425742574257426</v>
      </c>
      <c r="J168" s="48">
        <v>1</v>
      </c>
      <c r="K168" s="46">
        <f t="shared" si="29"/>
        <v>0.24752475247524752</v>
      </c>
      <c r="L168" s="48">
        <v>0</v>
      </c>
      <c r="M168" s="46">
        <f t="shared" si="24"/>
        <v>0</v>
      </c>
      <c r="N168" s="48">
        <v>0</v>
      </c>
      <c r="O168" s="49">
        <f t="shared" si="25"/>
        <v>0</v>
      </c>
      <c r="P168" s="48">
        <f t="shared" si="30"/>
        <v>4</v>
      </c>
      <c r="Q168" s="50">
        <f t="shared" si="26"/>
        <v>0.9900990099009901</v>
      </c>
      <c r="R168" s="48">
        <f t="shared" si="31"/>
        <v>0</v>
      </c>
      <c r="S168" s="51">
        <f t="shared" si="27"/>
        <v>0</v>
      </c>
    </row>
    <row r="169" spans="1:19" ht="13.5" customHeight="1">
      <c r="A169" s="102">
        <v>156</v>
      </c>
      <c r="B169" s="103" t="s">
        <v>170</v>
      </c>
      <c r="C169" s="151">
        <v>53.99355300859598</v>
      </c>
      <c r="D169" s="44">
        <v>1296</v>
      </c>
      <c r="E169" s="45">
        <f>457+216</f>
        <v>673</v>
      </c>
      <c r="F169" s="46">
        <f t="shared" si="28"/>
        <v>51.92901234567901</v>
      </c>
      <c r="G169" s="47">
        <f>466+226</f>
        <v>692</v>
      </c>
      <c r="H169" s="48">
        <f>6+2</f>
        <v>8</v>
      </c>
      <c r="I169" s="46">
        <f t="shared" si="29"/>
        <v>1.1560693641618496</v>
      </c>
      <c r="J169" s="48">
        <v>0</v>
      </c>
      <c r="K169" s="46">
        <f t="shared" si="29"/>
        <v>0</v>
      </c>
      <c r="L169" s="48">
        <f>1+1</f>
        <v>2</v>
      </c>
      <c r="M169" s="46">
        <f t="shared" si="24"/>
        <v>0.2890173410404624</v>
      </c>
      <c r="N169" s="48">
        <v>0</v>
      </c>
      <c r="O169" s="49">
        <f t="shared" si="25"/>
        <v>0</v>
      </c>
      <c r="P169" s="48">
        <f t="shared" si="30"/>
        <v>10</v>
      </c>
      <c r="Q169" s="50">
        <f t="shared" si="26"/>
        <v>1.4450867052023122</v>
      </c>
      <c r="R169" s="48">
        <f t="shared" si="31"/>
        <v>2</v>
      </c>
      <c r="S169" s="51">
        <f t="shared" si="27"/>
        <v>0.2890173410404624</v>
      </c>
    </row>
    <row r="170" spans="1:19" ht="13.5" customHeight="1">
      <c r="A170" s="102">
        <v>157</v>
      </c>
      <c r="B170" s="103" t="s">
        <v>171</v>
      </c>
      <c r="C170" s="151">
        <v>34.00339750849377</v>
      </c>
      <c r="D170" s="44">
        <v>305</v>
      </c>
      <c r="E170" s="45">
        <f>71+113</f>
        <v>184</v>
      </c>
      <c r="F170" s="46">
        <f t="shared" si="28"/>
        <v>60.32786885245902</v>
      </c>
      <c r="G170" s="47">
        <f>70+114</f>
        <v>184</v>
      </c>
      <c r="H170" s="48">
        <v>0</v>
      </c>
      <c r="I170" s="46">
        <f t="shared" si="29"/>
        <v>0</v>
      </c>
      <c r="J170" s="48">
        <v>0</v>
      </c>
      <c r="K170" s="46">
        <f t="shared" si="29"/>
        <v>0</v>
      </c>
      <c r="L170" s="48">
        <v>0</v>
      </c>
      <c r="M170" s="46">
        <f t="shared" si="24"/>
        <v>0</v>
      </c>
      <c r="N170" s="48">
        <v>0</v>
      </c>
      <c r="O170" s="49">
        <f t="shared" si="25"/>
        <v>0</v>
      </c>
      <c r="P170" s="48">
        <f t="shared" si="30"/>
        <v>0</v>
      </c>
      <c r="Q170" s="50">
        <f t="shared" si="26"/>
        <v>0</v>
      </c>
      <c r="R170" s="48">
        <f t="shared" si="31"/>
        <v>0</v>
      </c>
      <c r="S170" s="51">
        <f t="shared" si="27"/>
        <v>0</v>
      </c>
    </row>
    <row r="171" spans="1:19" ht="13.5" customHeight="1">
      <c r="A171" s="102">
        <v>158</v>
      </c>
      <c r="B171" s="103" t="s">
        <v>172</v>
      </c>
      <c r="C171" s="151">
        <v>57.645305514157975</v>
      </c>
      <c r="D171" s="44">
        <v>720</v>
      </c>
      <c r="E171" s="45">
        <f>230+240</f>
        <v>470</v>
      </c>
      <c r="F171" s="46">
        <f t="shared" si="28"/>
        <v>65.27777777777779</v>
      </c>
      <c r="G171" s="47">
        <f>223+242</f>
        <v>465</v>
      </c>
      <c r="H171" s="48">
        <v>1</v>
      </c>
      <c r="I171" s="46">
        <f t="shared" si="29"/>
        <v>0.21505376344086022</v>
      </c>
      <c r="J171" s="48">
        <v>0</v>
      </c>
      <c r="K171" s="46">
        <f t="shared" si="29"/>
        <v>0</v>
      </c>
      <c r="L171" s="48">
        <v>0</v>
      </c>
      <c r="M171" s="46">
        <f t="shared" si="24"/>
        <v>0</v>
      </c>
      <c r="N171" s="48">
        <v>0</v>
      </c>
      <c r="O171" s="49">
        <f t="shared" si="25"/>
        <v>0</v>
      </c>
      <c r="P171" s="48">
        <f t="shared" si="30"/>
        <v>1</v>
      </c>
      <c r="Q171" s="50">
        <f t="shared" si="26"/>
        <v>0.21505376344086022</v>
      </c>
      <c r="R171" s="48">
        <f t="shared" si="31"/>
        <v>0</v>
      </c>
      <c r="S171" s="51">
        <f t="shared" si="27"/>
        <v>0</v>
      </c>
    </row>
    <row r="172" spans="1:19" ht="13.5" customHeight="1">
      <c r="A172" s="102">
        <v>159</v>
      </c>
      <c r="B172" s="103" t="s">
        <v>173</v>
      </c>
      <c r="C172" s="151">
        <v>49.16601170203476</v>
      </c>
      <c r="D172" s="44">
        <v>545</v>
      </c>
      <c r="E172" s="45">
        <f>47+55</f>
        <v>102</v>
      </c>
      <c r="F172" s="46">
        <f t="shared" si="28"/>
        <v>18.71559633027523</v>
      </c>
      <c r="G172" s="47">
        <f>46+56</f>
        <v>102</v>
      </c>
      <c r="H172" s="48">
        <v>0</v>
      </c>
      <c r="I172" s="46">
        <f t="shared" si="29"/>
        <v>0</v>
      </c>
      <c r="J172" s="48">
        <v>1</v>
      </c>
      <c r="K172" s="46">
        <f t="shared" si="29"/>
        <v>0.9803921568627451</v>
      </c>
      <c r="L172" s="48">
        <v>0</v>
      </c>
      <c r="M172" s="46">
        <f t="shared" si="24"/>
        <v>0</v>
      </c>
      <c r="N172" s="48">
        <v>0</v>
      </c>
      <c r="O172" s="49">
        <f t="shared" si="25"/>
        <v>0</v>
      </c>
      <c r="P172" s="48">
        <f t="shared" si="30"/>
        <v>1</v>
      </c>
      <c r="Q172" s="50">
        <f t="shared" si="26"/>
        <v>0.9803921568627451</v>
      </c>
      <c r="R172" s="48">
        <f t="shared" si="31"/>
        <v>0</v>
      </c>
      <c r="S172" s="51">
        <f t="shared" si="27"/>
        <v>0</v>
      </c>
    </row>
    <row r="173" spans="1:19" ht="13.5" customHeight="1">
      <c r="A173" s="102">
        <v>160</v>
      </c>
      <c r="B173" s="103" t="s">
        <v>174</v>
      </c>
      <c r="C173" s="151">
        <v>27.00699876492384</v>
      </c>
      <c r="D173" s="44">
        <v>113</v>
      </c>
      <c r="E173" s="45">
        <f>8+6</f>
        <v>14</v>
      </c>
      <c r="F173" s="46">
        <f t="shared" si="28"/>
        <v>12.389380530973451</v>
      </c>
      <c r="G173" s="47">
        <f>8+6</f>
        <v>14</v>
      </c>
      <c r="H173" s="48">
        <v>0</v>
      </c>
      <c r="I173" s="46">
        <f t="shared" si="29"/>
        <v>0</v>
      </c>
      <c r="J173" s="48">
        <v>0</v>
      </c>
      <c r="K173" s="46">
        <f t="shared" si="29"/>
        <v>0</v>
      </c>
      <c r="L173" s="48">
        <v>0</v>
      </c>
      <c r="M173" s="46">
        <f aca="true" t="shared" si="32" ref="M173:M182">IF($G173=0,0,(L173/$G173)*100)</f>
        <v>0</v>
      </c>
      <c r="N173" s="48">
        <v>0</v>
      </c>
      <c r="O173" s="49">
        <f aca="true" t="shared" si="33" ref="O173:O182">IF($G173=0,0,(N173/$G173)*100)</f>
        <v>0</v>
      </c>
      <c r="P173" s="48">
        <f t="shared" si="30"/>
        <v>0</v>
      </c>
      <c r="Q173" s="50">
        <f aca="true" t="shared" si="34" ref="Q173:Q182">IF($G173=0,0,(P173/$G173)*100)</f>
        <v>0</v>
      </c>
      <c r="R173" s="48">
        <f t="shared" si="31"/>
        <v>0</v>
      </c>
      <c r="S173" s="51">
        <f aca="true" t="shared" si="35" ref="S173:S182">IF($G173=0,0,(R173/$G173)*100)</f>
        <v>0</v>
      </c>
    </row>
    <row r="174" spans="1:19" ht="13.5" customHeight="1">
      <c r="A174" s="102">
        <v>161</v>
      </c>
      <c r="B174" s="103" t="s">
        <v>175</v>
      </c>
      <c r="C174" s="151">
        <v>35.43268444299035</v>
      </c>
      <c r="D174" s="44">
        <v>528</v>
      </c>
      <c r="E174" s="45">
        <f>111+169</f>
        <v>280</v>
      </c>
      <c r="F174" s="46">
        <f t="shared" si="28"/>
        <v>53.03030303030303</v>
      </c>
      <c r="G174" s="47">
        <f>111+169</f>
        <v>280</v>
      </c>
      <c r="H174" s="48">
        <v>0</v>
      </c>
      <c r="I174" s="46">
        <f t="shared" si="29"/>
        <v>0</v>
      </c>
      <c r="J174" s="48">
        <v>0</v>
      </c>
      <c r="K174" s="46">
        <f t="shared" si="29"/>
        <v>0</v>
      </c>
      <c r="L174" s="48">
        <v>0</v>
      </c>
      <c r="M174" s="46">
        <f t="shared" si="32"/>
        <v>0</v>
      </c>
      <c r="N174" s="48">
        <v>0</v>
      </c>
      <c r="O174" s="49">
        <f t="shared" si="33"/>
        <v>0</v>
      </c>
      <c r="P174" s="48">
        <f t="shared" si="30"/>
        <v>0</v>
      </c>
      <c r="Q174" s="50">
        <f t="shared" si="34"/>
        <v>0</v>
      </c>
      <c r="R174" s="48">
        <f t="shared" si="31"/>
        <v>0</v>
      </c>
      <c r="S174" s="51">
        <f t="shared" si="35"/>
        <v>0</v>
      </c>
    </row>
    <row r="175" spans="1:19" ht="13.5" customHeight="1">
      <c r="A175" s="102">
        <v>162</v>
      </c>
      <c r="B175" s="103" t="s">
        <v>176</v>
      </c>
      <c r="C175" s="151">
        <v>65.07517269402682</v>
      </c>
      <c r="D175" s="44">
        <v>238</v>
      </c>
      <c r="E175" s="45">
        <f>14+10</f>
        <v>24</v>
      </c>
      <c r="F175" s="46">
        <f t="shared" si="28"/>
        <v>10.084033613445378</v>
      </c>
      <c r="G175" s="47">
        <f>14+10</f>
        <v>24</v>
      </c>
      <c r="H175" s="48">
        <f>1+1</f>
        <v>2</v>
      </c>
      <c r="I175" s="46">
        <f t="shared" si="29"/>
        <v>8.333333333333332</v>
      </c>
      <c r="J175" s="48">
        <v>0</v>
      </c>
      <c r="K175" s="46">
        <f t="shared" si="29"/>
        <v>0</v>
      </c>
      <c r="L175" s="48">
        <v>0</v>
      </c>
      <c r="M175" s="46">
        <f t="shared" si="32"/>
        <v>0</v>
      </c>
      <c r="N175" s="48">
        <v>0</v>
      </c>
      <c r="O175" s="49">
        <f t="shared" si="33"/>
        <v>0</v>
      </c>
      <c r="P175" s="48">
        <f t="shared" si="30"/>
        <v>2</v>
      </c>
      <c r="Q175" s="50">
        <f t="shared" si="34"/>
        <v>8.333333333333332</v>
      </c>
      <c r="R175" s="48">
        <f t="shared" si="31"/>
        <v>0</v>
      </c>
      <c r="S175" s="51">
        <f t="shared" si="35"/>
        <v>0</v>
      </c>
    </row>
    <row r="176" spans="1:19" ht="13.5" customHeight="1">
      <c r="A176" s="102">
        <v>163</v>
      </c>
      <c r="B176" s="103" t="s">
        <v>177</v>
      </c>
      <c r="C176" s="151">
        <v>53.54021958323998</v>
      </c>
      <c r="D176" s="44">
        <v>596</v>
      </c>
      <c r="E176" s="45">
        <f>95+72</f>
        <v>167</v>
      </c>
      <c r="F176" s="46">
        <f t="shared" si="28"/>
        <v>28.02013422818792</v>
      </c>
      <c r="G176" s="47">
        <f>89+78</f>
        <v>167</v>
      </c>
      <c r="H176" s="48">
        <f>3+3</f>
        <v>6</v>
      </c>
      <c r="I176" s="46">
        <f t="shared" si="29"/>
        <v>3.592814371257485</v>
      </c>
      <c r="J176" s="48">
        <f>3+2</f>
        <v>5</v>
      </c>
      <c r="K176" s="46">
        <f t="shared" si="29"/>
        <v>2.9940119760479043</v>
      </c>
      <c r="L176" s="48">
        <v>1</v>
      </c>
      <c r="M176" s="46">
        <f t="shared" si="32"/>
        <v>0.5988023952095809</v>
      </c>
      <c r="N176" s="48">
        <v>0</v>
      </c>
      <c r="O176" s="49">
        <f t="shared" si="33"/>
        <v>0</v>
      </c>
      <c r="P176" s="48">
        <f t="shared" si="30"/>
        <v>12</v>
      </c>
      <c r="Q176" s="50">
        <f t="shared" si="34"/>
        <v>7.18562874251497</v>
      </c>
      <c r="R176" s="48">
        <f t="shared" si="31"/>
        <v>1</v>
      </c>
      <c r="S176" s="51">
        <f t="shared" si="35"/>
        <v>0.5988023952095809</v>
      </c>
    </row>
    <row r="177" spans="1:19" ht="13.5" customHeight="1">
      <c r="A177" s="102">
        <v>164</v>
      </c>
      <c r="B177" s="103" t="s">
        <v>178</v>
      </c>
      <c r="C177" s="151">
        <v>42.89908256880734</v>
      </c>
      <c r="D177" s="44">
        <v>652</v>
      </c>
      <c r="E177" s="45">
        <f>126+59</f>
        <v>185</v>
      </c>
      <c r="F177" s="46">
        <f t="shared" si="28"/>
        <v>28.37423312883436</v>
      </c>
      <c r="G177" s="47">
        <f>124+63</f>
        <v>187</v>
      </c>
      <c r="H177" s="48">
        <f>1+1</f>
        <v>2</v>
      </c>
      <c r="I177" s="46">
        <f t="shared" si="29"/>
        <v>1.06951871657754</v>
      </c>
      <c r="J177" s="48">
        <v>0</v>
      </c>
      <c r="K177" s="46">
        <f t="shared" si="29"/>
        <v>0</v>
      </c>
      <c r="L177" s="48">
        <v>0</v>
      </c>
      <c r="M177" s="46">
        <f t="shared" si="32"/>
        <v>0</v>
      </c>
      <c r="N177" s="48">
        <v>0</v>
      </c>
      <c r="O177" s="49">
        <f t="shared" si="33"/>
        <v>0</v>
      </c>
      <c r="P177" s="48">
        <f t="shared" si="30"/>
        <v>2</v>
      </c>
      <c r="Q177" s="50">
        <f t="shared" si="34"/>
        <v>1.06951871657754</v>
      </c>
      <c r="R177" s="48">
        <f t="shared" si="31"/>
        <v>0</v>
      </c>
      <c r="S177" s="51">
        <f t="shared" si="35"/>
        <v>0</v>
      </c>
    </row>
    <row r="178" spans="1:19" ht="13.5" customHeight="1">
      <c r="A178" s="102">
        <v>165</v>
      </c>
      <c r="B178" s="103" t="s">
        <v>179</v>
      </c>
      <c r="C178" s="151">
        <v>58.18466967261321</v>
      </c>
      <c r="D178" s="44">
        <v>257</v>
      </c>
      <c r="E178" s="45">
        <f>26+10</f>
        <v>36</v>
      </c>
      <c r="F178" s="46">
        <f t="shared" si="28"/>
        <v>14.007782101167315</v>
      </c>
      <c r="G178" s="47">
        <f>25+10</f>
        <v>35</v>
      </c>
      <c r="H178" s="48">
        <v>0</v>
      </c>
      <c r="I178" s="46">
        <f t="shared" si="29"/>
        <v>0</v>
      </c>
      <c r="J178" s="48">
        <v>0</v>
      </c>
      <c r="K178" s="46">
        <f t="shared" si="29"/>
        <v>0</v>
      </c>
      <c r="L178" s="48">
        <v>0</v>
      </c>
      <c r="M178" s="46">
        <f t="shared" si="32"/>
        <v>0</v>
      </c>
      <c r="N178" s="48">
        <v>0</v>
      </c>
      <c r="O178" s="49">
        <f t="shared" si="33"/>
        <v>0</v>
      </c>
      <c r="P178" s="48">
        <f t="shared" si="30"/>
        <v>0</v>
      </c>
      <c r="Q178" s="50">
        <f t="shared" si="34"/>
        <v>0</v>
      </c>
      <c r="R178" s="48">
        <f t="shared" si="31"/>
        <v>0</v>
      </c>
      <c r="S178" s="51">
        <f t="shared" si="35"/>
        <v>0</v>
      </c>
    </row>
    <row r="179" spans="1:19" ht="13.5" customHeight="1">
      <c r="A179" s="102">
        <v>166</v>
      </c>
      <c r="B179" s="103" t="s">
        <v>180</v>
      </c>
      <c r="C179" s="151">
        <v>43.10966810966811</v>
      </c>
      <c r="D179" s="44">
        <v>377</v>
      </c>
      <c r="E179" s="45">
        <f>89+41</f>
        <v>130</v>
      </c>
      <c r="F179" s="46">
        <f t="shared" si="28"/>
        <v>34.48275862068966</v>
      </c>
      <c r="G179" s="47">
        <f>88+39</f>
        <v>127</v>
      </c>
      <c r="H179" s="48">
        <f>1+1</f>
        <v>2</v>
      </c>
      <c r="I179" s="46">
        <f t="shared" si="29"/>
        <v>1.574803149606299</v>
      </c>
      <c r="J179" s="48">
        <v>0</v>
      </c>
      <c r="K179" s="46">
        <f t="shared" si="29"/>
        <v>0</v>
      </c>
      <c r="L179" s="48">
        <v>0</v>
      </c>
      <c r="M179" s="46">
        <f t="shared" si="32"/>
        <v>0</v>
      </c>
      <c r="N179" s="48">
        <v>0</v>
      </c>
      <c r="O179" s="49">
        <f t="shared" si="33"/>
        <v>0</v>
      </c>
      <c r="P179" s="48">
        <f t="shared" si="30"/>
        <v>2</v>
      </c>
      <c r="Q179" s="53">
        <f t="shared" si="34"/>
        <v>1.574803149606299</v>
      </c>
      <c r="R179" s="48">
        <f t="shared" si="31"/>
        <v>0</v>
      </c>
      <c r="S179" s="51">
        <f t="shared" si="35"/>
        <v>0</v>
      </c>
    </row>
    <row r="180" spans="1:19" ht="13.5" customHeight="1">
      <c r="A180" s="102">
        <v>167</v>
      </c>
      <c r="B180" s="103" t="s">
        <v>181</v>
      </c>
      <c r="C180" s="151">
        <v>42.64659767952336</v>
      </c>
      <c r="D180" s="44">
        <v>201</v>
      </c>
      <c r="E180" s="45">
        <f>34+21</f>
        <v>55</v>
      </c>
      <c r="F180" s="46">
        <f t="shared" si="28"/>
        <v>27.363184079601986</v>
      </c>
      <c r="G180" s="47">
        <f>35+21</f>
        <v>56</v>
      </c>
      <c r="H180" s="48">
        <v>0</v>
      </c>
      <c r="I180" s="46">
        <f t="shared" si="29"/>
        <v>0</v>
      </c>
      <c r="J180" s="48">
        <v>0</v>
      </c>
      <c r="K180" s="46">
        <f t="shared" si="29"/>
        <v>0</v>
      </c>
      <c r="L180" s="48">
        <v>0</v>
      </c>
      <c r="M180" s="46">
        <f t="shared" si="32"/>
        <v>0</v>
      </c>
      <c r="N180" s="48">
        <v>0</v>
      </c>
      <c r="O180" s="49">
        <f t="shared" si="33"/>
        <v>0</v>
      </c>
      <c r="P180" s="48">
        <f t="shared" si="30"/>
        <v>0</v>
      </c>
      <c r="Q180" s="53">
        <f t="shared" si="34"/>
        <v>0</v>
      </c>
      <c r="R180" s="48">
        <f t="shared" si="31"/>
        <v>0</v>
      </c>
      <c r="S180" s="51">
        <f t="shared" si="35"/>
        <v>0</v>
      </c>
    </row>
    <row r="181" spans="1:19" ht="13.5" customHeight="1">
      <c r="A181" s="102">
        <v>168</v>
      </c>
      <c r="B181" s="103" t="s">
        <v>182</v>
      </c>
      <c r="C181" s="151">
        <v>35.22874127681572</v>
      </c>
      <c r="D181" s="44">
        <v>208</v>
      </c>
      <c r="E181" s="45">
        <f>75+40</f>
        <v>115</v>
      </c>
      <c r="F181" s="46">
        <f t="shared" si="28"/>
        <v>55.28846153846154</v>
      </c>
      <c r="G181" s="47">
        <f>76+39</f>
        <v>115</v>
      </c>
      <c r="H181" s="48">
        <v>1</v>
      </c>
      <c r="I181" s="46">
        <f t="shared" si="29"/>
        <v>0.8695652173913043</v>
      </c>
      <c r="J181" s="48">
        <v>0</v>
      </c>
      <c r="K181" s="46">
        <f t="shared" si="29"/>
        <v>0</v>
      </c>
      <c r="L181" s="48">
        <v>0</v>
      </c>
      <c r="M181" s="46">
        <f t="shared" si="32"/>
        <v>0</v>
      </c>
      <c r="N181" s="48">
        <v>0</v>
      </c>
      <c r="O181" s="49">
        <f t="shared" si="33"/>
        <v>0</v>
      </c>
      <c r="P181" s="48">
        <f t="shared" si="30"/>
        <v>1</v>
      </c>
      <c r="Q181" s="53">
        <f t="shared" si="34"/>
        <v>0.8695652173913043</v>
      </c>
      <c r="R181" s="48">
        <f t="shared" si="31"/>
        <v>0</v>
      </c>
      <c r="S181" s="51">
        <f t="shared" si="35"/>
        <v>0</v>
      </c>
    </row>
    <row r="182" spans="1:19" ht="13.5" customHeight="1" thickBot="1">
      <c r="A182" s="104">
        <v>169</v>
      </c>
      <c r="B182" s="105" t="s">
        <v>183</v>
      </c>
      <c r="C182" s="153">
        <v>35.84099868593955</v>
      </c>
      <c r="D182" s="54">
        <v>158</v>
      </c>
      <c r="E182" s="55">
        <f>39+43</f>
        <v>82</v>
      </c>
      <c r="F182" s="56">
        <f t="shared" si="28"/>
        <v>51.89873417721519</v>
      </c>
      <c r="G182" s="54">
        <f>40+43</f>
        <v>83</v>
      </c>
      <c r="H182" s="57">
        <v>1</v>
      </c>
      <c r="I182" s="56">
        <f t="shared" si="29"/>
        <v>1.2048192771084338</v>
      </c>
      <c r="J182" s="57">
        <v>0</v>
      </c>
      <c r="K182" s="56">
        <f t="shared" si="29"/>
        <v>0</v>
      </c>
      <c r="L182" s="57">
        <v>0</v>
      </c>
      <c r="M182" s="56">
        <f t="shared" si="32"/>
        <v>0</v>
      </c>
      <c r="N182" s="57">
        <v>0</v>
      </c>
      <c r="O182" s="58">
        <f t="shared" si="33"/>
        <v>0</v>
      </c>
      <c r="P182" s="57">
        <f t="shared" si="30"/>
        <v>1</v>
      </c>
      <c r="Q182" s="59">
        <f t="shared" si="34"/>
        <v>1.2048192771084338</v>
      </c>
      <c r="R182" s="57">
        <f t="shared" si="31"/>
        <v>0</v>
      </c>
      <c r="S182" s="60">
        <f t="shared" si="35"/>
        <v>0</v>
      </c>
    </row>
    <row r="183" spans="4:19" ht="13.5" thickTop="1">
      <c r="D183" s="106"/>
      <c r="E183" s="106"/>
      <c r="F183" s="106"/>
      <c r="G183" s="107"/>
      <c r="H183" s="108"/>
      <c r="I183" s="108"/>
      <c r="J183" s="109"/>
      <c r="K183" s="106"/>
      <c r="L183" s="109"/>
      <c r="M183" s="106"/>
      <c r="N183" s="109"/>
      <c r="O183" s="106"/>
      <c r="P183" s="109"/>
      <c r="Q183" s="109"/>
      <c r="R183" s="109"/>
      <c r="S183" s="106"/>
    </row>
    <row r="184" spans="1:14" ht="18">
      <c r="A184" s="17" t="s">
        <v>191</v>
      </c>
      <c r="B184" s="18"/>
      <c r="C184" s="18"/>
      <c r="D184" s="19"/>
      <c r="E184" s="20"/>
      <c r="F184" s="21"/>
      <c r="G184" s="24"/>
      <c r="H184" s="110"/>
      <c r="I184" s="110"/>
      <c r="J184" s="111"/>
      <c r="K184" s="112"/>
      <c r="L184" s="113"/>
      <c r="M184" s="112"/>
      <c r="N184" s="113"/>
    </row>
    <row r="185" spans="1:14" ht="18">
      <c r="A185" s="17" t="s">
        <v>189</v>
      </c>
      <c r="B185" s="18"/>
      <c r="C185" s="18"/>
      <c r="D185" s="19"/>
      <c r="E185" s="20"/>
      <c r="F185" s="21"/>
      <c r="G185" s="24"/>
      <c r="H185" s="110"/>
      <c r="I185" s="110"/>
      <c r="J185" s="111"/>
      <c r="K185" s="112"/>
      <c r="L185" s="113"/>
      <c r="M185" s="112"/>
      <c r="N185" s="113"/>
    </row>
    <row r="186" spans="1:14" ht="18">
      <c r="A186" s="17" t="s">
        <v>203</v>
      </c>
      <c r="B186" s="18"/>
      <c r="C186" s="18"/>
      <c r="D186" s="19"/>
      <c r="E186" s="20"/>
      <c r="F186" s="21"/>
      <c r="G186" s="24"/>
      <c r="H186" s="110"/>
      <c r="I186" s="110"/>
      <c r="J186" s="111"/>
      <c r="K186" s="112"/>
      <c r="L186" s="113"/>
      <c r="M186" s="112"/>
      <c r="N186" s="113"/>
    </row>
    <row r="187" spans="1:19" ht="12.75">
      <c r="A187" s="15"/>
      <c r="B187" s="15"/>
      <c r="C187" s="15"/>
      <c r="D187" s="15"/>
      <c r="E187" s="15"/>
      <c r="F187" s="16"/>
      <c r="G187" s="25"/>
      <c r="H187" s="28"/>
      <c r="I187" s="28"/>
      <c r="J187" s="29"/>
      <c r="K187" s="15"/>
      <c r="L187" s="31"/>
      <c r="M187" s="15"/>
      <c r="N187" s="31"/>
      <c r="O187" s="15"/>
      <c r="P187" s="31"/>
      <c r="Q187" s="31"/>
      <c r="R187" s="31"/>
      <c r="S187" s="15"/>
    </row>
  </sheetData>
  <printOptions/>
  <pageMargins left="0.75" right="0.75" top="0.75" bottom="0.75" header="0.4" footer="0.5"/>
  <pageSetup horizontalDpi="600" verticalDpi="600" orientation="landscape" paperSize="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6">
      <selection activeCell="A26" sqref="A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frostk</dc:creator>
  <cp:keywords/>
  <dc:description/>
  <cp:lastModifiedBy>pengj</cp:lastModifiedBy>
  <cp:lastPrinted>2004-12-01T15:16:36Z</cp:lastPrinted>
  <dcterms:created xsi:type="dcterms:W3CDTF">2003-08-27T15:57:13Z</dcterms:created>
  <dcterms:modified xsi:type="dcterms:W3CDTF">2004-12-07T16:52:12Z</dcterms:modified>
  <cp:category/>
  <cp:version/>
  <cp:contentType/>
  <cp:contentStatus/>
</cp:coreProperties>
</file>