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05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<sst xmlns="http://schemas.openxmlformats.org/spreadsheetml/2006/main" count="413" uniqueCount="201">
  <si>
    <t>Number of</t>
  </si>
  <si>
    <t>Number and Percent of</t>
  </si>
  <si>
    <t xml:space="preserve">Number </t>
  </si>
  <si>
    <t>cumulative statistics</t>
  </si>
  <si>
    <t>Children Age</t>
  </si>
  <si>
    <t>Children Screened</t>
  </si>
  <si>
    <t>of Valid Blood</t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</si>
  <si>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</si>
  <si>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</si>
  <si>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</si>
  <si>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</si>
  <si>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</si>
  <si>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1-2 years</t>
    </r>
    <r>
      <rPr>
        <vertAlign val="superscript"/>
        <sz val="8"/>
        <rFont val="Arial"/>
        <family val="2"/>
      </rPr>
      <t>b</t>
    </r>
  </si>
  <si>
    <t>Number</t>
  </si>
  <si>
    <t>Percent</t>
  </si>
  <si>
    <r>
      <t>Lead Tests</t>
    </r>
    <r>
      <rPr>
        <vertAlign val="superscript"/>
        <sz val="8"/>
        <rFont val="Arial"/>
        <family val="2"/>
      </rPr>
      <t>c</t>
    </r>
  </si>
  <si>
    <t>Connecticut</t>
  </si>
  <si>
    <t>Andover</t>
  </si>
  <si>
    <t>Ansonia</t>
  </si>
  <si>
    <t>Ashford</t>
  </si>
  <si>
    <t xml:space="preserve">Avon </t>
  </si>
  <si>
    <t xml:space="preserve">Barkhamsted </t>
  </si>
  <si>
    <t xml:space="preserve">Beacon Falls 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</si>
  <si>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</si>
  <si>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</si>
  <si>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</si>
  <si>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</si>
  <si>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</si>
  <si>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</si>
  <si>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</si>
  <si>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</si>
  <si>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</si>
  <si>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</si>
  <si>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</si>
  <si>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</si>
  <si>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</si>
  <si>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</si>
  <si>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</si>
  <si>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</si>
  <si>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</si>
  <si>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</si>
  <si>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</si>
  <si>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</si>
  <si>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</si>
  <si>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</si>
  <si>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</si>
  <si>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</si>
  <si>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</si>
  <si>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</si>
  <si>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</si>
  <si>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</si>
  <si>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</si>
  <si>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</si>
  <si>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</si>
  <si>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Durham 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</si>
  <si>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</si>
  <si>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</si>
  <si>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</si>
  <si>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</si>
  <si>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</si>
  <si>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</si>
  <si>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</si>
  <si>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</si>
  <si>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</si>
  <si>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</si>
  <si>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</si>
  <si>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</si>
  <si>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</si>
  <si>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</si>
  <si>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</si>
  <si>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</si>
  <si>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</si>
  <si>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</si>
  <si>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</si>
  <si>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</si>
  <si>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</si>
  <si>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</si>
  <si>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</si>
  <si>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</si>
  <si>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</si>
  <si>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</si>
  <si>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</si>
  <si>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</si>
  <si>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</si>
  <si>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</si>
  <si>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</si>
  <si>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</si>
  <si>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</si>
  <si>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</si>
  <si>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</si>
  <si>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</si>
  <si>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</si>
  <si>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</si>
  <si>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</si>
  <si>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</si>
  <si>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</si>
  <si>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</si>
  <si>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</si>
  <si>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</si>
  <si>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Middletown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</si>
  <si>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</si>
  <si>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</si>
  <si>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</si>
  <si>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</si>
  <si>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</si>
  <si>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</si>
  <si>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</si>
  <si>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</si>
  <si>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</si>
  <si>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</si>
  <si>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Newington </t>
  </si>
  <si>
    <t xml:space="preserve">New London </t>
  </si>
  <si>
    <t xml:space="preserve">New Milford </t>
  </si>
  <si>
    <t xml:space="preserve">Newtown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</si>
  <si>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</si>
  <si>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</si>
  <si>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</si>
  <si>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</si>
  <si>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</si>
  <si>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</si>
  <si>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</si>
  <si>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Lyme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</si>
  <si>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</si>
  <si>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</si>
  <si>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</si>
  <si>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</si>
  <si>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</si>
  <si>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</si>
  <si>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</si>
  <si>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</si>
  <si>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</si>
  <si>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</si>
  <si>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</si>
  <si>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</si>
  <si>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</si>
  <si>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</si>
  <si>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</si>
  <si>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</si>
  <si>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</si>
  <si>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</si>
  <si>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</si>
  <si>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</si>
  <si>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</si>
  <si>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</si>
  <si>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</si>
  <si>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</si>
  <si>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Southbury </t>
  </si>
  <si>
    <t xml:space="preserve">Southington </t>
  </si>
  <si>
    <t xml:space="preserve">South Windsor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</si>
  <si>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</si>
  <si>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</si>
  <si>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</si>
  <si>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</si>
  <si>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</si>
  <si>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</si>
  <si>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</si>
  <si>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</si>
  <si>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</si>
  <si>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</si>
  <si>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</si>
  <si>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</si>
  <si>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</si>
  <si>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</si>
  <si>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Voluntown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</si>
  <si>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</si>
  <si>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</si>
  <si>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</si>
  <si>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</si>
  <si>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</si>
  <si>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Watertown </t>
  </si>
  <si>
    <t xml:space="preserve">Westbrook </t>
  </si>
  <si>
    <t xml:space="preserve">West Hartford </t>
  </si>
  <si>
    <t xml:space="preserve">West Haven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</si>
  <si>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</si>
  <si>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</si>
  <si>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</si>
  <si>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</si>
  <si>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</si>
  <si>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</si>
  <si>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</si>
  <si>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</t>
  </si>
  <si>
    <t xml:space="preserve">Windsor Locks </t>
  </si>
  <si>
    <t xml:space="preserve">Wolcott </t>
  </si>
  <si>
    <t xml:space="preserve">Woodbridge </t>
  </si>
  <si>
    <t xml:space="preserve">Woodbury </t>
  </si>
  <si>
    <t xml:space="preserve">Woodstock </t>
  </si>
  <si>
    <r>
      <t xml:space="preserve">c </t>
    </r>
    <r>
      <rPr>
        <sz val="10"/>
        <rFont val="Arial"/>
        <family val="0"/>
      </rPr>
      <t>valid blood lead test = venous sample, fingerstick &lt; 10, or fingerstick &gt; 10 followed by another test within 90 days</t>
    </r>
  </si>
  <si>
    <r>
      <t>a Screening</t>
    </r>
    <r>
      <rPr>
        <vertAlign val="superscript"/>
        <sz val="8"/>
        <rFont val="Arial"/>
        <family val="2"/>
      </rPr>
      <t>a</t>
    </r>
    <r>
      <rPr>
        <sz val="8"/>
        <rFont val="Arial"/>
        <family val="0"/>
      </rPr>
      <t xml:space="preserve"> in CY 2001</t>
    </r>
  </si>
  <si>
    <r>
      <t>a</t>
    </r>
    <r>
      <rPr>
        <sz val="10"/>
        <rFont val="Arial"/>
        <family val="0"/>
      </rPr>
      <t xml:space="preserve"> any test (capillary or venous in LSS from 01/01/2001 - 12/31/2001</t>
    </r>
  </si>
  <si>
    <t>% housing</t>
  </si>
  <si>
    <t>Numbers and Percents of Valid Elevated Blood Lead Levels</t>
  </si>
  <si>
    <t>stock built</t>
  </si>
  <si>
    <r>
      <t xml:space="preserve">           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</si>
  <si>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t xml:space="preserve">                                                      Validated Elevated Blood Lead Levels</t>
  </si>
  <si>
    <t xml:space="preserve">                          CY 2001 data</t>
  </si>
  <si>
    <r>
      <t>before 1960</t>
    </r>
    <r>
      <rPr>
        <vertAlign val="superscript"/>
        <sz val="7"/>
        <rFont val="Arial"/>
        <family val="2"/>
      </rPr>
      <t>b</t>
    </r>
  </si>
  <si>
    <t>Connecticut Department of Public Health</t>
  </si>
  <si>
    <t>Childhood Lead Poisoning Prevention Program</t>
  </si>
  <si>
    <t xml:space="preserve">Children Age One and Two Years with </t>
  </si>
  <si>
    <r>
      <t xml:space="preserve">b </t>
    </r>
    <r>
      <rPr>
        <sz val="10"/>
        <rFont val="Arial"/>
        <family val="0"/>
      </rPr>
      <t>from 2000 U.S. Census (data for housing stock built pre1950 not readily available for all CT towns)</t>
    </r>
  </si>
  <si>
    <t>among Children One and Two Years of 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</si>
</sst>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name val="Times New Roman"/>
      <family val="0"/>
    </font>
    <font>
      <vertAlign val="superscript"/>
      <sz val="8"/>
      <name val="Arial"/>
      <family val="2"/>
    </font>
    <font>
      <sz val="8"/>
      <name val="Symbol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1" fontId="0" fillId="0" borderId="1" xfId="0" applyNumberForma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3" xfId="0" applyNumberFormat="1" applyBorder="1" applyAlignment="1">
      <alignment horizontal="centerContinuous"/>
    </xf>
    <xf numFmtId="1" fontId="2" fillId="0" borderId="1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" fontId="0" fillId="0" borderId="6" xfId="0" applyNumberForma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1" fontId="2" fillId="0" borderId="2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8" xfId="0" applyNumberFormat="1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4" xfId="0" applyBorder="1" applyAlignment="1">
      <alignment/>
    </xf>
    <xf numFmtId="0" fontId="6" fillId="0" borderId="14" xfId="0" applyFont="1" applyBorder="1" applyAlignment="1">
      <alignment/>
    </xf>
    <xf numFmtId="3" fontId="6" fillId="0" borderId="14" xfId="15" applyNumberFormat="1" applyFont="1" applyBorder="1" applyAlignment="1" applyProtection="1">
      <alignment horizontal="center"/>
      <protection/>
    </xf>
    <xf numFmtId="3" fontId="6" fillId="0" borderId="15" xfId="15" applyNumberFormat="1" applyFont="1" applyBorder="1" applyAlignment="1" applyProtection="1">
      <alignment horizontal="center"/>
      <protection/>
    </xf>
    <xf numFmtId="164" fontId="6" fillId="0" borderId="15" xfId="19" applyNumberFormat="1" applyFont="1" applyBorder="1" applyAlignment="1" applyProtection="1">
      <alignment horizontal="center"/>
      <protection/>
    </xf>
    <xf numFmtId="164" fontId="6" fillId="0" borderId="16" xfId="19" applyNumberFormat="1" applyFont="1" applyBorder="1" applyAlignment="1" applyProtection="1">
      <alignment horizontal="center"/>
      <protection/>
    </xf>
    <xf numFmtId="164" fontId="6" fillId="0" borderId="17" xfId="19" applyNumberFormat="1" applyFont="1" applyBorder="1" applyAlignment="1" applyProtection="1">
      <alignment horizontal="center"/>
      <protection/>
    </xf>
    <xf numFmtId="3" fontId="7" fillId="0" borderId="14" xfId="15" applyNumberFormat="1" applyFont="1" applyBorder="1" applyAlignment="1" applyProtection="1">
      <alignment horizontal="center"/>
      <protection/>
    </xf>
    <xf numFmtId="3" fontId="7" fillId="0" borderId="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" fontId="7" fillId="0" borderId="9" xfId="0" applyNumberFormat="1" applyFont="1" applyBorder="1" applyAlignment="1" applyProtection="1">
      <alignment horizontal="center"/>
      <protection locked="0"/>
    </xf>
    <xf numFmtId="164" fontId="7" fillId="0" borderId="15" xfId="19" applyNumberFormat="1" applyFont="1" applyBorder="1" applyAlignment="1" applyProtection="1">
      <alignment horizontal="center"/>
      <protection/>
    </xf>
    <xf numFmtId="164" fontId="7" fillId="0" borderId="19" xfId="19" applyNumberFormat="1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 locked="0"/>
    </xf>
    <xf numFmtId="164" fontId="7" fillId="0" borderId="20" xfId="19" applyNumberFormat="1" applyFont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14" xfId="15" applyNumberFormat="1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>
      <alignment horizontal="center"/>
    </xf>
    <xf numFmtId="164" fontId="7" fillId="0" borderId="15" xfId="19" applyNumberFormat="1" applyFont="1" applyFill="1" applyBorder="1" applyAlignment="1" applyProtection="1">
      <alignment horizontal="center"/>
      <protection/>
    </xf>
    <xf numFmtId="3" fontId="7" fillId="0" borderId="18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64" fontId="7" fillId="0" borderId="19" xfId="19" applyNumberFormat="1" applyFont="1" applyFill="1" applyBorder="1" applyAlignment="1" applyProtection="1">
      <alignment horizontal="center"/>
      <protection/>
    </xf>
    <xf numFmtId="164" fontId="7" fillId="0" borderId="20" xfId="19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165" fontId="0" fillId="0" borderId="0" xfId="15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7" fillId="0" borderId="15" xfId="15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7" fillId="0" borderId="15" xfId="15" applyNumberFormat="1" applyFont="1" applyBorder="1" applyAlignment="1" applyProtection="1">
      <alignment horizontal="center"/>
      <protection/>
    </xf>
    <xf numFmtId="0" fontId="7" fillId="0" borderId="15" xfId="15" applyNumberFormat="1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22" xfId="0" applyBorder="1" applyAlignment="1">
      <alignment horizontal="centerContinuous"/>
    </xf>
    <xf numFmtId="0" fontId="6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Continuous"/>
    </xf>
    <xf numFmtId="0" fontId="2" fillId="0" borderId="8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9" fillId="0" borderId="28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7" fillId="0" borderId="15" xfId="15" applyNumberFormat="1" applyFont="1" applyBorder="1" applyAlignment="1" applyProtection="1">
      <alignment horizontal="center"/>
      <protection/>
    </xf>
    <xf numFmtId="1" fontId="2" fillId="0" borderId="26" xfId="0" applyNumberFormat="1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164" fontId="6" fillId="0" borderId="8" xfId="19" applyNumberFormat="1" applyFont="1" applyBorder="1" applyAlignment="1" applyProtection="1">
      <alignment horizontal="center"/>
      <protection/>
    </xf>
    <xf numFmtId="164" fontId="7" fillId="0" borderId="8" xfId="19" applyNumberFormat="1" applyFont="1" applyBorder="1" applyAlignment="1" applyProtection="1">
      <alignment horizontal="center"/>
      <protection/>
    </xf>
    <xf numFmtId="3" fontId="6" fillId="0" borderId="34" xfId="15" applyNumberFormat="1" applyFont="1" applyBorder="1" applyAlignment="1" applyProtection="1">
      <alignment horizontal="center"/>
      <protection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3" fontId="7" fillId="0" borderId="3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3.28125" style="0" bestFit="1" customWidth="1"/>
    <col min="3" max="3" width="8.140625" style="0" customWidth="1"/>
    <col min="4" max="4" width="11.421875" style="0" customWidth="1"/>
    <col min="5" max="5" width="10.7109375" style="0" customWidth="1"/>
    <col min="6" max="6" width="8.00390625" style="0" customWidth="1"/>
    <col min="7" max="7" width="10.57421875" style="0" customWidth="1"/>
    <col min="9" max="9" width="7.7109375" style="0" customWidth="1"/>
    <col min="10" max="10" width="9.140625" style="70" customWidth="1"/>
    <col min="11" max="11" width="7.7109375" style="0" customWidth="1"/>
    <col min="12" max="12" width="9.140625" style="64" customWidth="1"/>
    <col min="13" max="13" width="7.7109375" style="0" customWidth="1"/>
    <col min="15" max="15" width="7.7109375" style="0" customWidth="1"/>
    <col min="17" max="17" width="7.7109375" style="0" customWidth="1"/>
    <col min="19" max="19" width="7.7109375" style="0" customWidth="1"/>
  </cols>
  <sheetData>
    <row r="1" spans="1:19" ht="13.5" thickTop="1">
      <c r="A1" s="80" t="s">
        <v>196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81"/>
    </row>
    <row r="2" spans="1:19" ht="12.75">
      <c r="A2" s="3" t="s">
        <v>197</v>
      </c>
      <c r="B2" s="10"/>
      <c r="C2" s="10"/>
      <c r="D2" s="83"/>
      <c r="E2" s="83"/>
      <c r="F2" s="83"/>
      <c r="G2" s="83"/>
      <c r="H2" s="83"/>
      <c r="I2" s="83"/>
      <c r="J2" s="5"/>
      <c r="K2" s="83"/>
      <c r="L2" s="83"/>
      <c r="M2" s="83"/>
      <c r="N2" s="83"/>
      <c r="O2" s="83"/>
      <c r="P2" s="83"/>
      <c r="Q2" s="83"/>
      <c r="R2" s="10"/>
      <c r="S2" s="72"/>
    </row>
    <row r="3" spans="1:19" ht="13.5" thickBot="1">
      <c r="A3" s="31"/>
      <c r="B3" s="4"/>
      <c r="C3" s="4"/>
      <c r="D3" s="5"/>
      <c r="E3" s="5"/>
      <c r="F3" s="5"/>
      <c r="G3" s="5"/>
      <c r="H3" s="5"/>
      <c r="I3" s="5"/>
      <c r="K3" s="5"/>
      <c r="L3" s="5"/>
      <c r="M3" s="5"/>
      <c r="N3" s="5"/>
      <c r="O3" s="4"/>
      <c r="P3" s="4"/>
      <c r="Q3" s="4"/>
      <c r="R3" s="4"/>
      <c r="S3" s="72"/>
    </row>
    <row r="4" spans="1:19" ht="13.5" thickTop="1">
      <c r="A4" s="8"/>
      <c r="B4" s="1"/>
      <c r="C4" s="95"/>
      <c r="D4" s="94" t="s">
        <v>198</v>
      </c>
      <c r="E4" s="1"/>
      <c r="F4" s="6"/>
      <c r="G4" s="94" t="s">
        <v>190</v>
      </c>
      <c r="H4" s="1"/>
      <c r="I4" s="7"/>
      <c r="J4" s="7"/>
      <c r="K4" s="7"/>
      <c r="L4" s="7"/>
      <c r="M4" s="7"/>
      <c r="N4" s="7"/>
      <c r="O4" s="1"/>
      <c r="P4" s="1"/>
      <c r="Q4" s="1"/>
      <c r="R4" s="1"/>
      <c r="S4" s="81"/>
    </row>
    <row r="5" spans="1:19" ht="13.5" thickBot="1">
      <c r="A5" s="8"/>
      <c r="B5" s="4"/>
      <c r="C5" s="77"/>
      <c r="D5" s="13" t="s">
        <v>187</v>
      </c>
      <c r="E5" s="14"/>
      <c r="F5" s="15"/>
      <c r="G5" s="16" t="s">
        <v>200</v>
      </c>
      <c r="H5" s="14"/>
      <c r="I5" s="17"/>
      <c r="J5" s="17"/>
      <c r="K5" s="17"/>
      <c r="L5" s="17"/>
      <c r="M5" s="17"/>
      <c r="N5" s="17"/>
      <c r="O5" s="14"/>
      <c r="P5" s="4"/>
      <c r="Q5" s="4"/>
      <c r="R5" s="4"/>
      <c r="S5" s="72"/>
    </row>
    <row r="6" spans="1:19" s="9" customFormat="1" ht="13.5" thickTop="1">
      <c r="A6" s="12" t="s">
        <v>194</v>
      </c>
      <c r="C6" s="79" t="s">
        <v>189</v>
      </c>
      <c r="D6" s="18" t="s">
        <v>0</v>
      </c>
      <c r="E6" s="19" t="s">
        <v>1</v>
      </c>
      <c r="F6" s="11"/>
      <c r="G6" s="18" t="s">
        <v>2</v>
      </c>
      <c r="H6" s="78" t="s">
        <v>193</v>
      </c>
      <c r="I6" s="21"/>
      <c r="J6" s="67"/>
      <c r="K6" s="21"/>
      <c r="L6" s="71"/>
      <c r="M6" s="21"/>
      <c r="N6" s="21"/>
      <c r="O6" s="22"/>
      <c r="P6" s="101" t="s">
        <v>3</v>
      </c>
      <c r="Q6" s="23"/>
      <c r="R6" s="82"/>
      <c r="S6" s="102"/>
    </row>
    <row r="7" spans="1:19" ht="12.75">
      <c r="A7" s="8"/>
      <c r="B7" s="9"/>
      <c r="C7" s="79" t="s">
        <v>191</v>
      </c>
      <c r="D7" s="18" t="s">
        <v>4</v>
      </c>
      <c r="E7" s="24" t="s">
        <v>5</v>
      </c>
      <c r="F7" s="25"/>
      <c r="G7" s="18" t="s">
        <v>6</v>
      </c>
      <c r="H7" s="20" t="s">
        <v>7</v>
      </c>
      <c r="I7" s="26"/>
      <c r="J7" s="78" t="s">
        <v>192</v>
      </c>
      <c r="K7" s="26"/>
      <c r="L7" s="20" t="s">
        <v>8</v>
      </c>
      <c r="M7" s="26"/>
      <c r="N7" s="20" t="s">
        <v>9</v>
      </c>
      <c r="O7" s="27"/>
      <c r="P7" s="28" t="s">
        <v>10</v>
      </c>
      <c r="Q7" s="4"/>
      <c r="R7" s="29" t="s">
        <v>11</v>
      </c>
      <c r="S7" s="30"/>
    </row>
    <row r="8" spans="1:19" s="92" customFormat="1" ht="13.5" thickBot="1">
      <c r="A8" s="84"/>
      <c r="B8" s="85"/>
      <c r="C8" s="86" t="s">
        <v>195</v>
      </c>
      <c r="D8" s="87" t="s">
        <v>12</v>
      </c>
      <c r="E8" s="88" t="s">
        <v>13</v>
      </c>
      <c r="F8" s="88" t="s">
        <v>14</v>
      </c>
      <c r="G8" s="87" t="s">
        <v>15</v>
      </c>
      <c r="H8" s="88" t="s">
        <v>13</v>
      </c>
      <c r="I8" s="88" t="s">
        <v>14</v>
      </c>
      <c r="J8" s="88" t="s">
        <v>13</v>
      </c>
      <c r="K8" s="88" t="s">
        <v>14</v>
      </c>
      <c r="L8" s="88" t="s">
        <v>13</v>
      </c>
      <c r="M8" s="88" t="s">
        <v>14</v>
      </c>
      <c r="N8" s="88" t="s">
        <v>13</v>
      </c>
      <c r="O8" s="89" t="s">
        <v>14</v>
      </c>
      <c r="P8" s="88" t="s">
        <v>13</v>
      </c>
      <c r="Q8" s="90" t="s">
        <v>14</v>
      </c>
      <c r="R8" s="88" t="s">
        <v>13</v>
      </c>
      <c r="S8" s="91" t="s">
        <v>14</v>
      </c>
    </row>
    <row r="9" spans="1:19" ht="13.5" thickTop="1">
      <c r="A9" s="32"/>
      <c r="B9" s="73" t="s">
        <v>16</v>
      </c>
      <c r="C9" s="75">
        <v>48</v>
      </c>
      <c r="D9" s="33">
        <v>88094</v>
      </c>
      <c r="E9" s="34">
        <f>21825+15084</f>
        <v>36909</v>
      </c>
      <c r="F9" s="96">
        <f>+(E9/$D9)*100</f>
        <v>41.89729152950258</v>
      </c>
      <c r="G9" s="98">
        <f>21634+15329</f>
        <v>36963</v>
      </c>
      <c r="H9" s="34">
        <f>288+391</f>
        <v>679</v>
      </c>
      <c r="I9" s="35">
        <f aca="true" t="shared" si="0" ref="I9:I41">+(H9/$G9)*100</f>
        <v>1.8369721072423775</v>
      </c>
      <c r="J9" s="34">
        <f>116+128</f>
        <v>244</v>
      </c>
      <c r="K9" s="35">
        <f>+(J9/$G9)*100</f>
        <v>0.6601195790384979</v>
      </c>
      <c r="L9" s="34">
        <f>45+38+50+41</f>
        <v>174</v>
      </c>
      <c r="M9" s="35">
        <f>+(L9/$G9)*100</f>
        <v>0.4707410112815519</v>
      </c>
      <c r="N9" s="34">
        <v>10</v>
      </c>
      <c r="O9" s="36">
        <f>+(N9/$G9)*100</f>
        <v>0.02705408110813516</v>
      </c>
      <c r="P9" s="34">
        <f>+H9+J9+L9+N9</f>
        <v>1107</v>
      </c>
      <c r="Q9" s="35">
        <f>+(P9/$G9)*100</f>
        <v>2.9948867786705624</v>
      </c>
      <c r="R9" s="34">
        <f>+L9+N9</f>
        <v>184</v>
      </c>
      <c r="S9" s="37">
        <f>+(R9/$G9)*100</f>
        <v>0.49779509238968694</v>
      </c>
    </row>
    <row r="10" spans="1:19" ht="12.75">
      <c r="A10" s="47">
        <v>1</v>
      </c>
      <c r="B10" s="74" t="s">
        <v>17</v>
      </c>
      <c r="C10" s="76">
        <v>41.90317195325542</v>
      </c>
      <c r="D10" s="38">
        <v>92</v>
      </c>
      <c r="E10" s="39">
        <f>7+2</f>
        <v>9</v>
      </c>
      <c r="F10" s="97">
        <f>+(E10/$D10)*100</f>
        <v>9.782608695652174</v>
      </c>
      <c r="G10" s="99">
        <v>9</v>
      </c>
      <c r="H10" s="41">
        <v>0</v>
      </c>
      <c r="I10" s="42">
        <f t="shared" si="0"/>
        <v>0</v>
      </c>
      <c r="J10" s="41">
        <v>0</v>
      </c>
      <c r="K10" s="42">
        <f>+(J10/$G10)*100</f>
        <v>0</v>
      </c>
      <c r="L10" s="62">
        <v>0</v>
      </c>
      <c r="M10" s="42">
        <f aca="true" t="shared" si="1" ref="M10:M73">+(L10/$G10)*100</f>
        <v>0</v>
      </c>
      <c r="N10" s="41">
        <v>0</v>
      </c>
      <c r="O10" s="43">
        <f aca="true" t="shared" si="2" ref="O10:O73">+(N10/$G10)*100</f>
        <v>0</v>
      </c>
      <c r="P10" s="93">
        <f aca="true" t="shared" si="3" ref="P10:P40">+H10+J10+L10+N10</f>
        <v>0</v>
      </c>
      <c r="Q10" s="42">
        <f aca="true" t="shared" si="4" ref="Q10:Q73">+(P10/$G10)*100</f>
        <v>0</v>
      </c>
      <c r="R10" s="93">
        <f aca="true" t="shared" si="5" ref="R10:R41">+L10+N10</f>
        <v>0</v>
      </c>
      <c r="S10" s="45">
        <f aca="true" t="shared" si="6" ref="S10:S74">+(R10/$G10)*100</f>
        <v>0</v>
      </c>
    </row>
    <row r="11" spans="1:19" ht="12.75">
      <c r="A11" s="47">
        <v>2</v>
      </c>
      <c r="B11" s="74" t="s">
        <v>18</v>
      </c>
      <c r="C11" s="76">
        <v>65.88131535844778</v>
      </c>
      <c r="D11" s="38">
        <v>507</v>
      </c>
      <c r="E11" s="39">
        <f>102+104</f>
        <v>206</v>
      </c>
      <c r="F11" s="97">
        <f aca="true" t="shared" si="7" ref="F11:F82">+(E11/$D11)*100</f>
        <v>40.63116370808679</v>
      </c>
      <c r="G11" s="99">
        <f>99+107</f>
        <v>206</v>
      </c>
      <c r="H11" s="41">
        <f>5+8</f>
        <v>13</v>
      </c>
      <c r="I11" s="42">
        <f t="shared" si="0"/>
        <v>6.310679611650485</v>
      </c>
      <c r="J11" s="41">
        <v>2</v>
      </c>
      <c r="K11" s="42">
        <f aca="true" t="shared" si="8" ref="K11:K73">+(J11/$G11)*100</f>
        <v>0.9708737864077669</v>
      </c>
      <c r="L11" s="62">
        <v>1</v>
      </c>
      <c r="M11" s="42">
        <f t="shared" si="1"/>
        <v>0.48543689320388345</v>
      </c>
      <c r="N11" s="41">
        <v>0</v>
      </c>
      <c r="O11" s="43">
        <f t="shared" si="2"/>
        <v>0</v>
      </c>
      <c r="P11" s="93">
        <f t="shared" si="3"/>
        <v>16</v>
      </c>
      <c r="Q11" s="42">
        <f t="shared" si="4"/>
        <v>7.766990291262135</v>
      </c>
      <c r="R11" s="93">
        <f t="shared" si="5"/>
        <v>1</v>
      </c>
      <c r="S11" s="45">
        <f t="shared" si="6"/>
        <v>0.48543689320388345</v>
      </c>
    </row>
    <row r="12" spans="1:19" ht="12.75">
      <c r="A12" s="47">
        <v>3</v>
      </c>
      <c r="B12" s="74" t="s">
        <v>19</v>
      </c>
      <c r="C12" s="76">
        <v>31.371394938198943</v>
      </c>
      <c r="D12" s="38">
        <v>102</v>
      </c>
      <c r="E12" s="39">
        <v>15</v>
      </c>
      <c r="F12" s="97">
        <f t="shared" si="7"/>
        <v>14.705882352941178</v>
      </c>
      <c r="G12" s="99">
        <v>15</v>
      </c>
      <c r="H12" s="41">
        <v>0</v>
      </c>
      <c r="I12" s="42">
        <f t="shared" si="0"/>
        <v>0</v>
      </c>
      <c r="J12" s="41">
        <v>0</v>
      </c>
      <c r="K12" s="42">
        <f t="shared" si="8"/>
        <v>0</v>
      </c>
      <c r="L12" s="62">
        <v>0</v>
      </c>
      <c r="M12" s="42">
        <f t="shared" si="1"/>
        <v>0</v>
      </c>
      <c r="N12" s="41">
        <v>0</v>
      </c>
      <c r="O12" s="43">
        <f t="shared" si="2"/>
        <v>0</v>
      </c>
      <c r="P12" s="93">
        <f t="shared" si="3"/>
        <v>0</v>
      </c>
      <c r="Q12" s="42">
        <f t="shared" si="4"/>
        <v>0</v>
      </c>
      <c r="R12" s="93">
        <f t="shared" si="5"/>
        <v>0</v>
      </c>
      <c r="S12" s="45">
        <f t="shared" si="6"/>
        <v>0</v>
      </c>
    </row>
    <row r="13" spans="1:19" ht="12.75">
      <c r="A13" s="47">
        <v>4</v>
      </c>
      <c r="B13" s="74" t="s">
        <v>20</v>
      </c>
      <c r="C13" s="76">
        <v>17.65432098765432</v>
      </c>
      <c r="D13" s="38">
        <v>405</v>
      </c>
      <c r="E13" s="39">
        <f>77+49</f>
        <v>126</v>
      </c>
      <c r="F13" s="97">
        <f t="shared" si="7"/>
        <v>31.11111111111111</v>
      </c>
      <c r="G13" s="99">
        <f>77+48</f>
        <v>125</v>
      </c>
      <c r="H13" s="41">
        <v>0</v>
      </c>
      <c r="I13" s="42">
        <f t="shared" si="0"/>
        <v>0</v>
      </c>
      <c r="J13" s="41">
        <v>0</v>
      </c>
      <c r="K13" s="42">
        <f t="shared" si="8"/>
        <v>0</v>
      </c>
      <c r="L13" s="62">
        <v>0</v>
      </c>
      <c r="M13" s="42">
        <f t="shared" si="1"/>
        <v>0</v>
      </c>
      <c r="N13" s="41">
        <v>1</v>
      </c>
      <c r="O13" s="43">
        <f t="shared" si="2"/>
        <v>0.8</v>
      </c>
      <c r="P13" s="93">
        <f t="shared" si="3"/>
        <v>1</v>
      </c>
      <c r="Q13" s="42">
        <f t="shared" si="4"/>
        <v>0.8</v>
      </c>
      <c r="R13" s="93">
        <f t="shared" si="5"/>
        <v>1</v>
      </c>
      <c r="S13" s="45">
        <f t="shared" si="6"/>
        <v>0.8</v>
      </c>
    </row>
    <row r="14" spans="1:19" ht="12.75">
      <c r="A14" s="47">
        <v>5</v>
      </c>
      <c r="B14" s="74" t="s">
        <v>21</v>
      </c>
      <c r="C14" s="76">
        <v>33.635097493036206</v>
      </c>
      <c r="D14" s="38">
        <v>76</v>
      </c>
      <c r="E14" s="39">
        <v>10</v>
      </c>
      <c r="F14" s="97">
        <f t="shared" si="7"/>
        <v>13.157894736842104</v>
      </c>
      <c r="G14" s="99">
        <v>10</v>
      </c>
      <c r="H14" s="41">
        <v>0</v>
      </c>
      <c r="I14" s="42">
        <f t="shared" si="0"/>
        <v>0</v>
      </c>
      <c r="J14" s="41">
        <v>0</v>
      </c>
      <c r="K14" s="42">
        <f t="shared" si="8"/>
        <v>0</v>
      </c>
      <c r="L14" s="62">
        <v>0</v>
      </c>
      <c r="M14" s="42">
        <f t="shared" si="1"/>
        <v>0</v>
      </c>
      <c r="N14" s="41">
        <v>0</v>
      </c>
      <c r="O14" s="43">
        <f t="shared" si="2"/>
        <v>0</v>
      </c>
      <c r="P14" s="93">
        <f t="shared" si="3"/>
        <v>0</v>
      </c>
      <c r="Q14" s="42">
        <f t="shared" si="4"/>
        <v>0</v>
      </c>
      <c r="R14" s="93">
        <f t="shared" si="5"/>
        <v>0</v>
      </c>
      <c r="S14" s="45">
        <f t="shared" si="6"/>
        <v>0</v>
      </c>
    </row>
    <row r="15" spans="1:19" ht="12.75">
      <c r="A15" s="47">
        <v>6</v>
      </c>
      <c r="B15" s="74" t="s">
        <v>22</v>
      </c>
      <c r="C15" s="76">
        <v>40.77946768060837</v>
      </c>
      <c r="D15" s="38">
        <v>132</v>
      </c>
      <c r="E15" s="46">
        <f>23+15</f>
        <v>38</v>
      </c>
      <c r="F15" s="97">
        <f t="shared" si="7"/>
        <v>28.78787878787879</v>
      </c>
      <c r="G15" s="99">
        <f>22+15</f>
        <v>37</v>
      </c>
      <c r="H15" s="41">
        <v>0</v>
      </c>
      <c r="I15" s="42">
        <f t="shared" si="0"/>
        <v>0</v>
      </c>
      <c r="J15" s="41">
        <v>0</v>
      </c>
      <c r="K15" s="42">
        <f t="shared" si="8"/>
        <v>0</v>
      </c>
      <c r="L15" s="62">
        <v>1</v>
      </c>
      <c r="M15" s="42">
        <f t="shared" si="1"/>
        <v>2.7027027027027026</v>
      </c>
      <c r="N15" s="41">
        <v>0</v>
      </c>
      <c r="O15" s="43">
        <f t="shared" si="2"/>
        <v>0</v>
      </c>
      <c r="P15" s="93">
        <f t="shared" si="3"/>
        <v>1</v>
      </c>
      <c r="Q15" s="42">
        <f t="shared" si="4"/>
        <v>2.7027027027027026</v>
      </c>
      <c r="R15" s="93">
        <f t="shared" si="5"/>
        <v>1</v>
      </c>
      <c r="S15" s="45">
        <f t="shared" si="6"/>
        <v>2.7027027027027026</v>
      </c>
    </row>
    <row r="16" spans="1:19" ht="12.75">
      <c r="A16" s="47">
        <v>7</v>
      </c>
      <c r="B16" s="74" t="s">
        <v>23</v>
      </c>
      <c r="C16" s="76">
        <v>42.77498202731847</v>
      </c>
      <c r="D16" s="38">
        <v>407</v>
      </c>
      <c r="E16" s="39">
        <f>33+24</f>
        <v>57</v>
      </c>
      <c r="F16" s="97">
        <f t="shared" si="7"/>
        <v>14.004914004914005</v>
      </c>
      <c r="G16" s="99">
        <v>58</v>
      </c>
      <c r="H16" s="41">
        <v>0</v>
      </c>
      <c r="I16" s="42">
        <f t="shared" si="0"/>
        <v>0</v>
      </c>
      <c r="J16" s="41">
        <v>0</v>
      </c>
      <c r="K16" s="42">
        <f t="shared" si="8"/>
        <v>0</v>
      </c>
      <c r="L16" s="62">
        <v>0</v>
      </c>
      <c r="M16" s="42">
        <f t="shared" si="1"/>
        <v>0</v>
      </c>
      <c r="N16" s="41">
        <v>0</v>
      </c>
      <c r="O16" s="43">
        <f t="shared" si="2"/>
        <v>0</v>
      </c>
      <c r="P16" s="93">
        <f t="shared" si="3"/>
        <v>0</v>
      </c>
      <c r="Q16" s="42">
        <f t="shared" si="4"/>
        <v>0</v>
      </c>
      <c r="R16" s="93">
        <f t="shared" si="5"/>
        <v>0</v>
      </c>
      <c r="S16" s="45">
        <f t="shared" si="6"/>
        <v>0</v>
      </c>
    </row>
    <row r="17" spans="1:19" ht="12.75">
      <c r="A17" s="47">
        <v>8</v>
      </c>
      <c r="B17" s="74" t="s">
        <v>24</v>
      </c>
      <c r="C17" s="76">
        <v>32.589285714285715</v>
      </c>
      <c r="D17" s="38">
        <v>117</v>
      </c>
      <c r="E17" s="39">
        <f>20+12</f>
        <v>32</v>
      </c>
      <c r="F17" s="97">
        <f t="shared" si="7"/>
        <v>27.350427350427353</v>
      </c>
      <c r="G17" s="99">
        <f>19+13</f>
        <v>32</v>
      </c>
      <c r="H17" s="41">
        <v>0</v>
      </c>
      <c r="I17" s="42">
        <f t="shared" si="0"/>
        <v>0</v>
      </c>
      <c r="J17" s="41">
        <v>0</v>
      </c>
      <c r="K17" s="42">
        <f t="shared" si="8"/>
        <v>0</v>
      </c>
      <c r="L17" s="62">
        <v>0</v>
      </c>
      <c r="M17" s="42">
        <f t="shared" si="1"/>
        <v>0</v>
      </c>
      <c r="N17" s="41">
        <v>0</v>
      </c>
      <c r="O17" s="43">
        <f t="shared" si="2"/>
        <v>0</v>
      </c>
      <c r="P17" s="93">
        <f t="shared" si="3"/>
        <v>0</v>
      </c>
      <c r="Q17" s="42">
        <f t="shared" si="4"/>
        <v>0</v>
      </c>
      <c r="R17" s="93">
        <f t="shared" si="5"/>
        <v>0</v>
      </c>
      <c r="S17" s="45">
        <f t="shared" si="6"/>
        <v>0</v>
      </c>
    </row>
    <row r="18" spans="1:19" ht="12.75">
      <c r="A18" s="47">
        <v>9</v>
      </c>
      <c r="B18" s="74" t="s">
        <v>25</v>
      </c>
      <c r="C18" s="76">
        <v>36.0739516007816</v>
      </c>
      <c r="D18" s="38">
        <v>471</v>
      </c>
      <c r="E18" s="39">
        <f>129+73</f>
        <v>202</v>
      </c>
      <c r="F18" s="97">
        <f t="shared" si="7"/>
        <v>42.88747346072187</v>
      </c>
      <c r="G18" s="99">
        <f>130+75</f>
        <v>205</v>
      </c>
      <c r="H18" s="41">
        <v>0</v>
      </c>
      <c r="I18" s="42">
        <f t="shared" si="0"/>
        <v>0</v>
      </c>
      <c r="J18" s="41">
        <v>0</v>
      </c>
      <c r="K18" s="42">
        <f t="shared" si="8"/>
        <v>0</v>
      </c>
      <c r="L18" s="62">
        <v>0</v>
      </c>
      <c r="M18" s="42">
        <f t="shared" si="1"/>
        <v>0</v>
      </c>
      <c r="N18" s="41">
        <v>0</v>
      </c>
      <c r="O18" s="43">
        <f t="shared" si="2"/>
        <v>0</v>
      </c>
      <c r="P18" s="93">
        <f t="shared" si="3"/>
        <v>0</v>
      </c>
      <c r="Q18" s="42">
        <f t="shared" si="4"/>
        <v>0</v>
      </c>
      <c r="R18" s="93">
        <f t="shared" si="5"/>
        <v>0</v>
      </c>
      <c r="S18" s="45">
        <f t="shared" si="6"/>
        <v>0</v>
      </c>
    </row>
    <row r="19" spans="1:19" ht="12.75">
      <c r="A19" s="47">
        <v>10</v>
      </c>
      <c r="B19" s="74" t="s">
        <v>26</v>
      </c>
      <c r="C19" s="76">
        <v>43.443804034582136</v>
      </c>
      <c r="D19" s="38">
        <v>60</v>
      </c>
      <c r="E19" s="39">
        <f>27+4</f>
        <v>31</v>
      </c>
      <c r="F19" s="97">
        <f t="shared" si="7"/>
        <v>51.66666666666667</v>
      </c>
      <c r="G19" s="99">
        <f>27+4</f>
        <v>31</v>
      </c>
      <c r="H19" s="41">
        <v>0</v>
      </c>
      <c r="I19" s="42">
        <f t="shared" si="0"/>
        <v>0</v>
      </c>
      <c r="J19" s="41">
        <v>0</v>
      </c>
      <c r="K19" s="42">
        <f t="shared" si="8"/>
        <v>0</v>
      </c>
      <c r="L19" s="62">
        <v>0</v>
      </c>
      <c r="M19" s="42">
        <f t="shared" si="1"/>
        <v>0</v>
      </c>
      <c r="N19" s="41">
        <v>0</v>
      </c>
      <c r="O19" s="43">
        <f t="shared" si="2"/>
        <v>0</v>
      </c>
      <c r="P19" s="93">
        <f t="shared" si="3"/>
        <v>0</v>
      </c>
      <c r="Q19" s="42">
        <f t="shared" si="4"/>
        <v>0</v>
      </c>
      <c r="R19" s="93">
        <f t="shared" si="5"/>
        <v>0</v>
      </c>
      <c r="S19" s="45">
        <f t="shared" si="6"/>
        <v>0</v>
      </c>
    </row>
    <row r="20" spans="1:19" ht="12.75">
      <c r="A20" s="47">
        <v>11</v>
      </c>
      <c r="B20" s="74" t="s">
        <v>27</v>
      </c>
      <c r="C20" s="76">
        <v>38.20622330689445</v>
      </c>
      <c r="D20" s="38">
        <v>405</v>
      </c>
      <c r="E20" s="39">
        <f>105+49</f>
        <v>154</v>
      </c>
      <c r="F20" s="97">
        <f t="shared" si="7"/>
        <v>38.02469135802469</v>
      </c>
      <c r="G20" s="99">
        <v>154</v>
      </c>
      <c r="H20" s="41">
        <v>4</v>
      </c>
      <c r="I20" s="42">
        <f t="shared" si="0"/>
        <v>2.5974025974025974</v>
      </c>
      <c r="J20" s="41">
        <v>0</v>
      </c>
      <c r="K20" s="42">
        <f t="shared" si="8"/>
        <v>0</v>
      </c>
      <c r="L20" s="62">
        <v>0</v>
      </c>
      <c r="M20" s="42">
        <f t="shared" si="1"/>
        <v>0</v>
      </c>
      <c r="N20" s="41">
        <v>0</v>
      </c>
      <c r="O20" s="43">
        <f t="shared" si="2"/>
        <v>0</v>
      </c>
      <c r="P20" s="93">
        <f t="shared" si="3"/>
        <v>4</v>
      </c>
      <c r="Q20" s="42">
        <f t="shared" si="4"/>
        <v>2.5974025974025974</v>
      </c>
      <c r="R20" s="93">
        <f t="shared" si="5"/>
        <v>0</v>
      </c>
      <c r="S20" s="45">
        <f t="shared" si="6"/>
        <v>0</v>
      </c>
    </row>
    <row r="21" spans="1:19" ht="12.75">
      <c r="A21" s="47">
        <v>12</v>
      </c>
      <c r="B21" s="74" t="s">
        <v>28</v>
      </c>
      <c r="C21" s="76">
        <v>42.45810055865922</v>
      </c>
      <c r="D21" s="38">
        <v>113</v>
      </c>
      <c r="E21" s="39">
        <v>9</v>
      </c>
      <c r="F21" s="97">
        <f t="shared" si="7"/>
        <v>7.964601769911504</v>
      </c>
      <c r="G21" s="99">
        <v>9</v>
      </c>
      <c r="H21" s="41">
        <v>0</v>
      </c>
      <c r="I21" s="42">
        <f t="shared" si="0"/>
        <v>0</v>
      </c>
      <c r="J21" s="41">
        <v>0</v>
      </c>
      <c r="K21" s="42">
        <f t="shared" si="8"/>
        <v>0</v>
      </c>
      <c r="L21" s="62">
        <v>0</v>
      </c>
      <c r="M21" s="42">
        <f t="shared" si="1"/>
        <v>0</v>
      </c>
      <c r="N21" s="41">
        <v>0</v>
      </c>
      <c r="O21" s="43">
        <f t="shared" si="2"/>
        <v>0</v>
      </c>
      <c r="P21" s="93">
        <f t="shared" si="3"/>
        <v>0</v>
      </c>
      <c r="Q21" s="42">
        <f t="shared" si="4"/>
        <v>0</v>
      </c>
      <c r="R21" s="93">
        <f t="shared" si="5"/>
        <v>0</v>
      </c>
      <c r="S21" s="45">
        <f t="shared" si="6"/>
        <v>0</v>
      </c>
    </row>
    <row r="22" spans="1:19" ht="12.75">
      <c r="A22" s="47">
        <v>13</v>
      </c>
      <c r="B22" s="74" t="s">
        <v>29</v>
      </c>
      <c r="C22" s="76">
        <v>40.13086150490731</v>
      </c>
      <c r="D22" s="38">
        <v>49</v>
      </c>
      <c r="E22" s="39">
        <f>19+8</f>
        <v>27</v>
      </c>
      <c r="F22" s="97">
        <f t="shared" si="7"/>
        <v>55.10204081632652</v>
      </c>
      <c r="G22" s="99">
        <v>28</v>
      </c>
      <c r="H22" s="41">
        <v>0</v>
      </c>
      <c r="I22" s="42">
        <f t="shared" si="0"/>
        <v>0</v>
      </c>
      <c r="J22" s="41">
        <v>0</v>
      </c>
      <c r="K22" s="42">
        <f t="shared" si="8"/>
        <v>0</v>
      </c>
      <c r="L22" s="62">
        <v>1</v>
      </c>
      <c r="M22" s="42">
        <f t="shared" si="1"/>
        <v>3.571428571428571</v>
      </c>
      <c r="N22" s="41">
        <v>0</v>
      </c>
      <c r="O22" s="43">
        <f t="shared" si="2"/>
        <v>0</v>
      </c>
      <c r="P22" s="93">
        <f t="shared" si="3"/>
        <v>1</v>
      </c>
      <c r="Q22" s="42">
        <f t="shared" si="4"/>
        <v>3.571428571428571</v>
      </c>
      <c r="R22" s="93">
        <f t="shared" si="5"/>
        <v>1</v>
      </c>
      <c r="S22" s="45">
        <f t="shared" si="6"/>
        <v>3.571428571428571</v>
      </c>
    </row>
    <row r="23" spans="1:19" ht="12.75">
      <c r="A23" s="47">
        <v>14</v>
      </c>
      <c r="B23" s="74" t="s">
        <v>30</v>
      </c>
      <c r="C23" s="76">
        <v>40.22635287063409</v>
      </c>
      <c r="D23" s="38">
        <v>592</v>
      </c>
      <c r="E23" s="39">
        <f>132+67</f>
        <v>199</v>
      </c>
      <c r="F23" s="97">
        <f t="shared" si="7"/>
        <v>33.61486486486486</v>
      </c>
      <c r="G23" s="99">
        <f>131+64</f>
        <v>195</v>
      </c>
      <c r="H23" s="41">
        <f>0+2</f>
        <v>2</v>
      </c>
      <c r="I23" s="42">
        <f t="shared" si="0"/>
        <v>1.0256410256410255</v>
      </c>
      <c r="J23" s="41">
        <v>0</v>
      </c>
      <c r="K23" s="42">
        <f t="shared" si="8"/>
        <v>0</v>
      </c>
      <c r="L23" s="62">
        <v>0</v>
      </c>
      <c r="M23" s="42">
        <f t="shared" si="1"/>
        <v>0</v>
      </c>
      <c r="N23" s="41">
        <v>0</v>
      </c>
      <c r="O23" s="43">
        <f t="shared" si="2"/>
        <v>0</v>
      </c>
      <c r="P23" s="93">
        <f t="shared" si="3"/>
        <v>2</v>
      </c>
      <c r="Q23" s="42">
        <f t="shared" si="4"/>
        <v>1.0256410256410255</v>
      </c>
      <c r="R23" s="93">
        <f t="shared" si="5"/>
        <v>0</v>
      </c>
      <c r="S23" s="45">
        <f t="shared" si="6"/>
        <v>0</v>
      </c>
    </row>
    <row r="24" spans="1:19" ht="12.75">
      <c r="A24" s="47">
        <v>15</v>
      </c>
      <c r="B24" s="74" t="s">
        <v>31</v>
      </c>
      <c r="C24" s="76">
        <v>66.24974708922691</v>
      </c>
      <c r="D24" s="48">
        <v>4464</v>
      </c>
      <c r="E24" s="49">
        <f>1861+1398</f>
        <v>3259</v>
      </c>
      <c r="F24" s="97">
        <f t="shared" si="7"/>
        <v>73.00627240143369</v>
      </c>
      <c r="G24" s="100">
        <f>1850+1463</f>
        <v>3313</v>
      </c>
      <c r="H24" s="52">
        <f>64+108</f>
        <v>172</v>
      </c>
      <c r="I24" s="50">
        <f t="shared" si="0"/>
        <v>5.191669182010263</v>
      </c>
      <c r="J24" s="52">
        <f>20+34</f>
        <v>54</v>
      </c>
      <c r="K24" s="50">
        <f t="shared" si="8"/>
        <v>1.6299426501660126</v>
      </c>
      <c r="L24" s="62">
        <f>11+7+7+7</f>
        <v>32</v>
      </c>
      <c r="M24" s="50">
        <f t="shared" si="1"/>
        <v>0.9658919408391186</v>
      </c>
      <c r="N24" s="52">
        <v>3</v>
      </c>
      <c r="O24" s="53">
        <f t="shared" si="2"/>
        <v>0.09055236945366738</v>
      </c>
      <c r="P24" s="93">
        <f t="shared" si="3"/>
        <v>261</v>
      </c>
      <c r="Q24" s="50">
        <f t="shared" si="4"/>
        <v>7.878056142469061</v>
      </c>
      <c r="R24" s="93">
        <f t="shared" si="5"/>
        <v>35</v>
      </c>
      <c r="S24" s="54">
        <f t="shared" si="6"/>
        <v>1.056444310292786</v>
      </c>
    </row>
    <row r="25" spans="1:19" ht="12.75">
      <c r="A25" s="47">
        <v>16</v>
      </c>
      <c r="B25" s="74" t="s">
        <v>32</v>
      </c>
      <c r="C25" s="76">
        <v>43.90243902439025</v>
      </c>
      <c r="D25" s="38">
        <v>30</v>
      </c>
      <c r="E25" s="39">
        <v>10</v>
      </c>
      <c r="F25" s="97">
        <f t="shared" si="7"/>
        <v>33.33333333333333</v>
      </c>
      <c r="G25" s="99">
        <v>10</v>
      </c>
      <c r="H25" s="41">
        <v>0</v>
      </c>
      <c r="I25" s="42">
        <f t="shared" si="0"/>
        <v>0</v>
      </c>
      <c r="J25" s="41">
        <v>0</v>
      </c>
      <c r="K25" s="42">
        <f t="shared" si="8"/>
        <v>0</v>
      </c>
      <c r="L25" s="62">
        <v>0</v>
      </c>
      <c r="M25" s="42">
        <f t="shared" si="1"/>
        <v>0</v>
      </c>
      <c r="N25" s="41">
        <v>0</v>
      </c>
      <c r="O25" s="43">
        <f t="shared" si="2"/>
        <v>0</v>
      </c>
      <c r="P25" s="93">
        <f t="shared" si="3"/>
        <v>0</v>
      </c>
      <c r="Q25" s="42">
        <f t="shared" si="4"/>
        <v>0</v>
      </c>
      <c r="R25" s="93">
        <f t="shared" si="5"/>
        <v>0</v>
      </c>
      <c r="S25" s="45">
        <f t="shared" si="6"/>
        <v>0</v>
      </c>
    </row>
    <row r="26" spans="1:19" ht="12.75">
      <c r="A26" s="47">
        <v>17</v>
      </c>
      <c r="B26" s="74" t="s">
        <v>33</v>
      </c>
      <c r="C26" s="76">
        <v>45.88708133971292</v>
      </c>
      <c r="D26" s="38">
        <v>1569</v>
      </c>
      <c r="E26" s="39">
        <f>457+119</f>
        <v>576</v>
      </c>
      <c r="F26" s="97">
        <f t="shared" si="7"/>
        <v>36.7112810707457</v>
      </c>
      <c r="G26" s="99">
        <f>446+120</f>
        <v>566</v>
      </c>
      <c r="H26" s="41">
        <v>3</v>
      </c>
      <c r="I26" s="42">
        <f t="shared" si="0"/>
        <v>0.5300353356890459</v>
      </c>
      <c r="J26" s="66">
        <v>1</v>
      </c>
      <c r="K26" s="42">
        <f t="shared" si="8"/>
        <v>0.17667844522968199</v>
      </c>
      <c r="L26" s="62">
        <v>1</v>
      </c>
      <c r="M26" s="42">
        <f t="shared" si="1"/>
        <v>0.17667844522968199</v>
      </c>
      <c r="N26" s="41">
        <v>0</v>
      </c>
      <c r="O26" s="43">
        <f t="shared" si="2"/>
        <v>0</v>
      </c>
      <c r="P26" s="93">
        <f t="shared" si="3"/>
        <v>5</v>
      </c>
      <c r="Q26" s="42">
        <f t="shared" si="4"/>
        <v>0.88339222614841</v>
      </c>
      <c r="R26" s="93">
        <f t="shared" si="5"/>
        <v>1</v>
      </c>
      <c r="S26" s="45">
        <f t="shared" si="6"/>
        <v>0.17667844522968199</v>
      </c>
    </row>
    <row r="27" spans="1:19" ht="12.75">
      <c r="A27" s="47">
        <v>18</v>
      </c>
      <c r="B27" s="74" t="s">
        <v>34</v>
      </c>
      <c r="C27" s="76">
        <v>25.895173845355473</v>
      </c>
      <c r="D27" s="38">
        <v>384</v>
      </c>
      <c r="E27" s="39">
        <f>71+40</f>
        <v>111</v>
      </c>
      <c r="F27" s="97">
        <f t="shared" si="7"/>
        <v>28.90625</v>
      </c>
      <c r="G27" s="99">
        <f>71+40</f>
        <v>111</v>
      </c>
      <c r="H27" s="41">
        <v>0</v>
      </c>
      <c r="I27" s="42">
        <f t="shared" si="0"/>
        <v>0</v>
      </c>
      <c r="J27" s="41">
        <v>0</v>
      </c>
      <c r="K27" s="42">
        <f t="shared" si="8"/>
        <v>0</v>
      </c>
      <c r="L27" s="62">
        <v>0</v>
      </c>
      <c r="M27" s="42">
        <f t="shared" si="1"/>
        <v>0</v>
      </c>
      <c r="N27" s="41">
        <v>0</v>
      </c>
      <c r="O27" s="43">
        <f t="shared" si="2"/>
        <v>0</v>
      </c>
      <c r="P27" s="93">
        <f t="shared" si="3"/>
        <v>0</v>
      </c>
      <c r="Q27" s="42">
        <f t="shared" si="4"/>
        <v>0</v>
      </c>
      <c r="R27" s="93">
        <f t="shared" si="5"/>
        <v>0</v>
      </c>
      <c r="S27" s="45">
        <f t="shared" si="6"/>
        <v>0</v>
      </c>
    </row>
    <row r="28" spans="1:19" ht="12.75">
      <c r="A28" s="47">
        <v>19</v>
      </c>
      <c r="B28" s="74" t="s">
        <v>35</v>
      </c>
      <c r="C28" s="76">
        <v>34.527326440177255</v>
      </c>
      <c r="D28" s="38">
        <v>143</v>
      </c>
      <c r="E28" s="39">
        <f>26+17</f>
        <v>43</v>
      </c>
      <c r="F28" s="97">
        <f t="shared" si="7"/>
        <v>30.069930069930066</v>
      </c>
      <c r="G28" s="99">
        <f>26+17</f>
        <v>43</v>
      </c>
      <c r="H28" s="41">
        <v>2</v>
      </c>
      <c r="I28" s="42">
        <f t="shared" si="0"/>
        <v>4.651162790697675</v>
      </c>
      <c r="J28" s="41">
        <v>0</v>
      </c>
      <c r="K28" s="42">
        <f t="shared" si="8"/>
        <v>0</v>
      </c>
      <c r="L28" s="62">
        <v>0</v>
      </c>
      <c r="M28" s="42">
        <f t="shared" si="1"/>
        <v>0</v>
      </c>
      <c r="N28" s="41">
        <v>0</v>
      </c>
      <c r="O28" s="43">
        <f t="shared" si="2"/>
        <v>0</v>
      </c>
      <c r="P28" s="93">
        <f t="shared" si="3"/>
        <v>2</v>
      </c>
      <c r="Q28" s="42">
        <f t="shared" si="4"/>
        <v>4.651162790697675</v>
      </c>
      <c r="R28" s="93">
        <f t="shared" si="5"/>
        <v>0</v>
      </c>
      <c r="S28" s="45">
        <f t="shared" si="6"/>
        <v>0</v>
      </c>
    </row>
    <row r="29" spans="1:19" ht="12.75">
      <c r="A29" s="47">
        <v>20</v>
      </c>
      <c r="B29" s="74" t="s">
        <v>36</v>
      </c>
      <c r="C29" s="76">
        <v>18.579800068941744</v>
      </c>
      <c r="D29" s="38">
        <v>240</v>
      </c>
      <c r="E29" s="39">
        <f>41+21</f>
        <v>62</v>
      </c>
      <c r="F29" s="97">
        <f t="shared" si="7"/>
        <v>25.833333333333336</v>
      </c>
      <c r="G29" s="99">
        <f>41+21</f>
        <v>62</v>
      </c>
      <c r="H29" s="41">
        <v>0</v>
      </c>
      <c r="I29" s="42">
        <f t="shared" si="0"/>
        <v>0</v>
      </c>
      <c r="J29" s="41">
        <v>0</v>
      </c>
      <c r="K29" s="42">
        <f t="shared" si="8"/>
        <v>0</v>
      </c>
      <c r="L29" s="62">
        <v>0</v>
      </c>
      <c r="M29" s="42">
        <f t="shared" si="1"/>
        <v>0</v>
      </c>
      <c r="N29" s="41">
        <v>0</v>
      </c>
      <c r="O29" s="43">
        <f t="shared" si="2"/>
        <v>0</v>
      </c>
      <c r="P29" s="93">
        <f t="shared" si="3"/>
        <v>0</v>
      </c>
      <c r="Q29" s="42">
        <f t="shared" si="4"/>
        <v>0</v>
      </c>
      <c r="R29" s="93">
        <f t="shared" si="5"/>
        <v>0</v>
      </c>
      <c r="S29" s="45">
        <f t="shared" si="6"/>
        <v>0</v>
      </c>
    </row>
    <row r="30" spans="1:19" ht="12.75">
      <c r="A30" s="47">
        <v>21</v>
      </c>
      <c r="B30" s="74" t="s">
        <v>37</v>
      </c>
      <c r="C30" s="76">
        <v>60.1639344262295</v>
      </c>
      <c r="D30" s="38">
        <v>20</v>
      </c>
      <c r="E30" s="39">
        <v>19</v>
      </c>
      <c r="F30" s="97">
        <f t="shared" si="7"/>
        <v>95</v>
      </c>
      <c r="G30" s="99">
        <v>20</v>
      </c>
      <c r="H30" s="41">
        <v>0</v>
      </c>
      <c r="I30" s="42">
        <f t="shared" si="0"/>
        <v>0</v>
      </c>
      <c r="J30" s="41">
        <v>0</v>
      </c>
      <c r="K30" s="42">
        <f t="shared" si="8"/>
        <v>0</v>
      </c>
      <c r="L30" s="62">
        <v>0</v>
      </c>
      <c r="M30" s="42">
        <f t="shared" si="1"/>
        <v>0</v>
      </c>
      <c r="N30" s="41">
        <v>0</v>
      </c>
      <c r="O30" s="43">
        <f t="shared" si="2"/>
        <v>0</v>
      </c>
      <c r="P30" s="93">
        <f t="shared" si="3"/>
        <v>0</v>
      </c>
      <c r="Q30" s="42">
        <f t="shared" si="4"/>
        <v>0</v>
      </c>
      <c r="R30" s="93">
        <f t="shared" si="5"/>
        <v>0</v>
      </c>
      <c r="S30" s="45">
        <f t="shared" si="6"/>
        <v>0</v>
      </c>
    </row>
    <row r="31" spans="1:19" ht="12.75">
      <c r="A31" s="47">
        <v>22</v>
      </c>
      <c r="B31" s="74" t="s">
        <v>38</v>
      </c>
      <c r="C31" s="76">
        <v>30.0794551645857</v>
      </c>
      <c r="D31" s="38">
        <v>108</v>
      </c>
      <c r="E31" s="39">
        <f>22+15</f>
        <v>37</v>
      </c>
      <c r="F31" s="97">
        <f t="shared" si="7"/>
        <v>34.25925925925926</v>
      </c>
      <c r="G31" s="99">
        <f>23+15</f>
        <v>38</v>
      </c>
      <c r="H31" s="41">
        <v>0</v>
      </c>
      <c r="I31" s="42">
        <f t="shared" si="0"/>
        <v>0</v>
      </c>
      <c r="J31" s="41">
        <v>0</v>
      </c>
      <c r="K31" s="42">
        <f t="shared" si="8"/>
        <v>0</v>
      </c>
      <c r="L31" s="62">
        <v>0</v>
      </c>
      <c r="M31" s="42">
        <f t="shared" si="1"/>
        <v>0</v>
      </c>
      <c r="N31" s="41">
        <v>0</v>
      </c>
      <c r="O31" s="43">
        <f t="shared" si="2"/>
        <v>0</v>
      </c>
      <c r="P31" s="93">
        <f t="shared" si="3"/>
        <v>0</v>
      </c>
      <c r="Q31" s="42">
        <f t="shared" si="4"/>
        <v>0</v>
      </c>
      <c r="R31" s="93">
        <f t="shared" si="5"/>
        <v>0</v>
      </c>
      <c r="S31" s="45">
        <f t="shared" si="6"/>
        <v>0</v>
      </c>
    </row>
    <row r="32" spans="1:19" ht="12.75">
      <c r="A32" s="47">
        <v>23</v>
      </c>
      <c r="B32" s="74" t="s">
        <v>39</v>
      </c>
      <c r="C32" s="76">
        <v>41.344026548672566</v>
      </c>
      <c r="D32" s="38">
        <v>199</v>
      </c>
      <c r="E32" s="39">
        <f>39+28</f>
        <v>67</v>
      </c>
      <c r="F32" s="97">
        <f t="shared" si="7"/>
        <v>33.66834170854271</v>
      </c>
      <c r="G32" s="99">
        <f>39+28</f>
        <v>67</v>
      </c>
      <c r="H32" s="41">
        <v>1</v>
      </c>
      <c r="I32" s="42">
        <f t="shared" si="0"/>
        <v>1.4925373134328357</v>
      </c>
      <c r="J32" s="41">
        <v>0</v>
      </c>
      <c r="K32" s="42">
        <f t="shared" si="8"/>
        <v>0</v>
      </c>
      <c r="L32" s="62">
        <v>0</v>
      </c>
      <c r="M32" s="42">
        <f t="shared" si="1"/>
        <v>0</v>
      </c>
      <c r="N32" s="41">
        <v>0</v>
      </c>
      <c r="O32" s="43">
        <f t="shared" si="2"/>
        <v>0</v>
      </c>
      <c r="P32" s="93">
        <f t="shared" si="3"/>
        <v>1</v>
      </c>
      <c r="Q32" s="42">
        <f t="shared" si="4"/>
        <v>1.4925373134328357</v>
      </c>
      <c r="R32" s="93">
        <f t="shared" si="5"/>
        <v>0</v>
      </c>
      <c r="S32" s="45">
        <f t="shared" si="6"/>
        <v>0</v>
      </c>
    </row>
    <row r="33" spans="1:19" ht="12.75">
      <c r="A33" s="47">
        <v>24</v>
      </c>
      <c r="B33" s="74" t="s">
        <v>40</v>
      </c>
      <c r="C33" s="76">
        <v>44.70457079152732</v>
      </c>
      <c r="D33" s="38">
        <v>52</v>
      </c>
      <c r="E33" s="39">
        <v>8</v>
      </c>
      <c r="F33" s="97">
        <f t="shared" si="7"/>
        <v>15.384615384615385</v>
      </c>
      <c r="G33" s="99">
        <v>8</v>
      </c>
      <c r="H33" s="41">
        <v>0</v>
      </c>
      <c r="I33" s="42">
        <f t="shared" si="0"/>
        <v>0</v>
      </c>
      <c r="J33" s="41">
        <v>0</v>
      </c>
      <c r="K33" s="42">
        <f t="shared" si="8"/>
        <v>0</v>
      </c>
      <c r="L33" s="62">
        <v>0</v>
      </c>
      <c r="M33" s="42">
        <f t="shared" si="1"/>
        <v>0</v>
      </c>
      <c r="N33" s="41">
        <v>0</v>
      </c>
      <c r="O33" s="43">
        <f t="shared" si="2"/>
        <v>0</v>
      </c>
      <c r="P33" s="93">
        <f t="shared" si="3"/>
        <v>0</v>
      </c>
      <c r="Q33" s="42">
        <f t="shared" si="4"/>
        <v>0</v>
      </c>
      <c r="R33" s="93">
        <f t="shared" si="5"/>
        <v>0</v>
      </c>
      <c r="S33" s="45">
        <f t="shared" si="6"/>
        <v>0</v>
      </c>
    </row>
    <row r="34" spans="1:19" ht="12.75">
      <c r="A34" s="47">
        <v>25</v>
      </c>
      <c r="B34" s="74" t="s">
        <v>41</v>
      </c>
      <c r="C34" s="76">
        <v>34.153491780965346</v>
      </c>
      <c r="D34" s="38">
        <v>676</v>
      </c>
      <c r="E34" s="39">
        <f>123+92</f>
        <v>215</v>
      </c>
      <c r="F34" s="97">
        <f t="shared" si="7"/>
        <v>31.804733727810653</v>
      </c>
      <c r="G34" s="99">
        <f>120+93</f>
        <v>213</v>
      </c>
      <c r="H34" s="41">
        <v>0</v>
      </c>
      <c r="I34" s="42">
        <f t="shared" si="0"/>
        <v>0</v>
      </c>
      <c r="J34" s="41">
        <v>0</v>
      </c>
      <c r="K34" s="42">
        <f t="shared" si="8"/>
        <v>0</v>
      </c>
      <c r="L34" s="62">
        <v>0</v>
      </c>
      <c r="M34" s="42">
        <f t="shared" si="1"/>
        <v>0</v>
      </c>
      <c r="N34" s="41">
        <v>0</v>
      </c>
      <c r="O34" s="43">
        <f t="shared" si="2"/>
        <v>0</v>
      </c>
      <c r="P34" s="93">
        <f t="shared" si="3"/>
        <v>0</v>
      </c>
      <c r="Q34" s="42">
        <f t="shared" si="4"/>
        <v>0</v>
      </c>
      <c r="R34" s="93">
        <f t="shared" si="5"/>
        <v>0</v>
      </c>
      <c r="S34" s="45">
        <f t="shared" si="6"/>
        <v>0</v>
      </c>
    </row>
    <row r="35" spans="1:19" ht="12.75">
      <c r="A35" s="47">
        <v>26</v>
      </c>
      <c r="B35" s="74" t="s">
        <v>42</v>
      </c>
      <c r="C35" s="76">
        <v>50.712957222566644</v>
      </c>
      <c r="D35" s="38">
        <v>99</v>
      </c>
      <c r="E35" s="39">
        <f>24+24</f>
        <v>48</v>
      </c>
      <c r="F35" s="97">
        <f t="shared" si="7"/>
        <v>48.484848484848484</v>
      </c>
      <c r="G35" s="99">
        <v>48</v>
      </c>
      <c r="H35" s="41">
        <v>0</v>
      </c>
      <c r="I35" s="42">
        <f t="shared" si="0"/>
        <v>0</v>
      </c>
      <c r="J35" s="41">
        <v>0</v>
      </c>
      <c r="K35" s="42">
        <f t="shared" si="8"/>
        <v>0</v>
      </c>
      <c r="L35" s="62">
        <v>0</v>
      </c>
      <c r="M35" s="42">
        <f t="shared" si="1"/>
        <v>0</v>
      </c>
      <c r="N35" s="41">
        <v>0</v>
      </c>
      <c r="O35" s="43">
        <f t="shared" si="2"/>
        <v>0</v>
      </c>
      <c r="P35" s="93">
        <f t="shared" si="3"/>
        <v>0</v>
      </c>
      <c r="Q35" s="42">
        <f t="shared" si="4"/>
        <v>0</v>
      </c>
      <c r="R35" s="93">
        <f t="shared" si="5"/>
        <v>0</v>
      </c>
      <c r="S35" s="45">
        <f t="shared" si="6"/>
        <v>0</v>
      </c>
    </row>
    <row r="36" spans="1:19" ht="12.75">
      <c r="A36" s="47">
        <v>27</v>
      </c>
      <c r="B36" s="74" t="s">
        <v>43</v>
      </c>
      <c r="C36" s="76">
        <v>35.191940246656245</v>
      </c>
      <c r="D36" s="38">
        <v>352</v>
      </c>
      <c r="E36" s="39">
        <f>70+69</f>
        <v>139</v>
      </c>
      <c r="F36" s="97">
        <f t="shared" si="7"/>
        <v>39.48863636363637</v>
      </c>
      <c r="G36" s="99">
        <f>70+66</f>
        <v>136</v>
      </c>
      <c r="H36" s="41">
        <v>0</v>
      </c>
      <c r="I36" s="42">
        <f t="shared" si="0"/>
        <v>0</v>
      </c>
      <c r="J36" s="41">
        <v>0</v>
      </c>
      <c r="K36" s="42">
        <f t="shared" si="8"/>
        <v>0</v>
      </c>
      <c r="L36" s="62">
        <v>0</v>
      </c>
      <c r="M36" s="42">
        <f t="shared" si="1"/>
        <v>0</v>
      </c>
      <c r="N36" s="41">
        <v>0</v>
      </c>
      <c r="O36" s="43">
        <f t="shared" si="2"/>
        <v>0</v>
      </c>
      <c r="P36" s="93">
        <f t="shared" si="3"/>
        <v>0</v>
      </c>
      <c r="Q36" s="42">
        <f t="shared" si="4"/>
        <v>0</v>
      </c>
      <c r="R36" s="93">
        <f t="shared" si="5"/>
        <v>0</v>
      </c>
      <c r="S36" s="45">
        <f t="shared" si="6"/>
        <v>0</v>
      </c>
    </row>
    <row r="37" spans="1:19" ht="12.75">
      <c r="A37" s="47">
        <v>28</v>
      </c>
      <c r="B37" s="74" t="s">
        <v>44</v>
      </c>
      <c r="C37" s="76">
        <v>24.486776400961716</v>
      </c>
      <c r="D37" s="38">
        <v>493</v>
      </c>
      <c r="E37" s="39">
        <f>104+71</f>
        <v>175</v>
      </c>
      <c r="F37" s="97">
        <f t="shared" si="7"/>
        <v>35.496957403651116</v>
      </c>
      <c r="G37" s="99">
        <f>109+72</f>
        <v>181</v>
      </c>
      <c r="H37" s="41">
        <v>0</v>
      </c>
      <c r="I37" s="42">
        <f t="shared" si="0"/>
        <v>0</v>
      </c>
      <c r="J37" s="41">
        <v>0</v>
      </c>
      <c r="K37" s="42">
        <f t="shared" si="8"/>
        <v>0</v>
      </c>
      <c r="L37" s="62">
        <v>0</v>
      </c>
      <c r="M37" s="42">
        <f t="shared" si="1"/>
        <v>0</v>
      </c>
      <c r="N37" s="41">
        <v>0</v>
      </c>
      <c r="O37" s="43">
        <f t="shared" si="2"/>
        <v>0</v>
      </c>
      <c r="P37" s="93">
        <f t="shared" si="3"/>
        <v>0</v>
      </c>
      <c r="Q37" s="42">
        <f t="shared" si="4"/>
        <v>0</v>
      </c>
      <c r="R37" s="93">
        <f t="shared" si="5"/>
        <v>0</v>
      </c>
      <c r="S37" s="45">
        <f t="shared" si="6"/>
        <v>0</v>
      </c>
    </row>
    <row r="38" spans="1:19" ht="12.75">
      <c r="A38" s="47">
        <v>29</v>
      </c>
      <c r="B38" s="74" t="s">
        <v>45</v>
      </c>
      <c r="C38" s="76">
        <v>47.86585365853659</v>
      </c>
      <c r="D38" s="38">
        <v>34</v>
      </c>
      <c r="E38" s="39">
        <v>2</v>
      </c>
      <c r="F38" s="97">
        <f t="shared" si="7"/>
        <v>5.88235294117647</v>
      </c>
      <c r="G38" s="99">
        <v>2</v>
      </c>
      <c r="H38" s="41">
        <v>0</v>
      </c>
      <c r="I38" s="42">
        <f t="shared" si="0"/>
        <v>0</v>
      </c>
      <c r="J38" s="41">
        <v>0</v>
      </c>
      <c r="K38" s="42">
        <f t="shared" si="8"/>
        <v>0</v>
      </c>
      <c r="L38" s="62">
        <v>1</v>
      </c>
      <c r="M38" s="42">
        <f t="shared" si="1"/>
        <v>50</v>
      </c>
      <c r="N38" s="41">
        <v>0</v>
      </c>
      <c r="O38" s="43">
        <f t="shared" si="2"/>
        <v>0</v>
      </c>
      <c r="P38" s="93">
        <f t="shared" si="3"/>
        <v>1</v>
      </c>
      <c r="Q38" s="42">
        <f t="shared" si="4"/>
        <v>50</v>
      </c>
      <c r="R38" s="93">
        <f t="shared" si="5"/>
        <v>1</v>
      </c>
      <c r="S38" s="45">
        <f t="shared" si="6"/>
        <v>50</v>
      </c>
    </row>
    <row r="39" spans="1:19" ht="12.75">
      <c r="A39" s="47">
        <v>30</v>
      </c>
      <c r="B39" s="74" t="s">
        <v>46</v>
      </c>
      <c r="C39" s="76">
        <v>34.1046277665996</v>
      </c>
      <c r="D39" s="38">
        <v>125</v>
      </c>
      <c r="E39" s="39">
        <v>7</v>
      </c>
      <c r="F39" s="97">
        <f t="shared" si="7"/>
        <v>5.6000000000000005</v>
      </c>
      <c r="G39" s="99">
        <v>7</v>
      </c>
      <c r="H39" s="41">
        <v>0</v>
      </c>
      <c r="I39" s="42">
        <f t="shared" si="0"/>
        <v>0</v>
      </c>
      <c r="J39" s="41">
        <v>0</v>
      </c>
      <c r="K39" s="42">
        <f t="shared" si="8"/>
        <v>0</v>
      </c>
      <c r="L39" s="62">
        <v>0</v>
      </c>
      <c r="M39" s="42">
        <f t="shared" si="1"/>
        <v>0</v>
      </c>
      <c r="N39" s="41">
        <v>0</v>
      </c>
      <c r="O39" s="43">
        <f t="shared" si="2"/>
        <v>0</v>
      </c>
      <c r="P39" s="93">
        <f t="shared" si="3"/>
        <v>0</v>
      </c>
      <c r="Q39" s="42">
        <f t="shared" si="4"/>
        <v>0</v>
      </c>
      <c r="R39" s="93">
        <f t="shared" si="5"/>
        <v>0</v>
      </c>
      <c r="S39" s="45">
        <f t="shared" si="6"/>
        <v>0</v>
      </c>
    </row>
    <row r="40" spans="1:19" ht="12.75">
      <c r="A40" s="47">
        <v>31</v>
      </c>
      <c r="B40" s="74" t="s">
        <v>47</v>
      </c>
      <c r="C40" s="76">
        <v>59.106529209621996</v>
      </c>
      <c r="D40" s="38">
        <v>28</v>
      </c>
      <c r="E40" s="39">
        <v>6</v>
      </c>
      <c r="F40" s="97">
        <f t="shared" si="7"/>
        <v>21.428571428571427</v>
      </c>
      <c r="G40" s="99">
        <v>6</v>
      </c>
      <c r="H40" s="41">
        <v>0</v>
      </c>
      <c r="I40" s="42">
        <f t="shared" si="0"/>
        <v>0</v>
      </c>
      <c r="J40" s="41">
        <v>0</v>
      </c>
      <c r="K40" s="42">
        <f t="shared" si="8"/>
        <v>0</v>
      </c>
      <c r="L40" s="62">
        <v>0</v>
      </c>
      <c r="M40" s="42">
        <f t="shared" si="1"/>
        <v>0</v>
      </c>
      <c r="N40" s="41">
        <v>0</v>
      </c>
      <c r="O40" s="43">
        <f t="shared" si="2"/>
        <v>0</v>
      </c>
      <c r="P40" s="93">
        <f t="shared" si="3"/>
        <v>0</v>
      </c>
      <c r="Q40" s="42">
        <f t="shared" si="4"/>
        <v>0</v>
      </c>
      <c r="R40" s="93">
        <f t="shared" si="5"/>
        <v>0</v>
      </c>
      <c r="S40" s="45">
        <f t="shared" si="6"/>
        <v>0</v>
      </c>
    </row>
    <row r="41" spans="1:19" ht="13.5" thickBot="1">
      <c r="A41" s="47">
        <v>32</v>
      </c>
      <c r="B41" s="74" t="s">
        <v>48</v>
      </c>
      <c r="C41" s="76">
        <v>43.156486847971465</v>
      </c>
      <c r="D41" s="38">
        <v>288</v>
      </c>
      <c r="E41" s="39">
        <f>26+13</f>
        <v>39</v>
      </c>
      <c r="F41" s="97">
        <f t="shared" si="7"/>
        <v>13.541666666666666</v>
      </c>
      <c r="G41" s="103">
        <f>28+13</f>
        <v>41</v>
      </c>
      <c r="H41" s="41">
        <v>0</v>
      </c>
      <c r="I41" s="42">
        <f t="shared" si="0"/>
        <v>0</v>
      </c>
      <c r="J41" s="52">
        <v>0</v>
      </c>
      <c r="K41" s="42">
        <f t="shared" si="8"/>
        <v>0</v>
      </c>
      <c r="L41" s="62">
        <v>0</v>
      </c>
      <c r="M41" s="42">
        <f t="shared" si="1"/>
        <v>0</v>
      </c>
      <c r="N41" s="41">
        <v>0</v>
      </c>
      <c r="O41" s="43">
        <f t="shared" si="2"/>
        <v>0</v>
      </c>
      <c r="P41" s="44">
        <f>SUM(H41)+J41+L41+N41</f>
        <v>0</v>
      </c>
      <c r="Q41" s="42">
        <f t="shared" si="4"/>
        <v>0</v>
      </c>
      <c r="R41" s="93">
        <f t="shared" si="5"/>
        <v>0</v>
      </c>
      <c r="S41" s="45">
        <f t="shared" si="6"/>
        <v>0</v>
      </c>
    </row>
    <row r="42" spans="1:19" ht="13.5" thickTop="1">
      <c r="A42" s="80" t="s">
        <v>196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81"/>
    </row>
    <row r="43" spans="1:19" ht="12.75">
      <c r="A43" s="3" t="s">
        <v>197</v>
      </c>
      <c r="B43" s="10"/>
      <c r="C43" s="10"/>
      <c r="D43" s="83"/>
      <c r="E43" s="83"/>
      <c r="F43" s="83"/>
      <c r="G43" s="83"/>
      <c r="H43" s="83"/>
      <c r="I43" s="83"/>
      <c r="J43" s="5"/>
      <c r="K43" s="83"/>
      <c r="L43" s="83"/>
      <c r="M43" s="83"/>
      <c r="N43" s="83"/>
      <c r="O43" s="83"/>
      <c r="P43" s="83"/>
      <c r="Q43" s="83"/>
      <c r="R43" s="10"/>
      <c r="S43" s="72"/>
    </row>
    <row r="44" spans="1:19" ht="13.5" thickBot="1">
      <c r="A44" s="31"/>
      <c r="B44" s="4"/>
      <c r="C44" s="4"/>
      <c r="D44" s="5"/>
      <c r="E44" s="5"/>
      <c r="F44" s="5"/>
      <c r="G44" s="5"/>
      <c r="H44" s="5"/>
      <c r="I44" s="5"/>
      <c r="K44" s="5"/>
      <c r="L44" s="5"/>
      <c r="M44" s="5"/>
      <c r="N44" s="5"/>
      <c r="O44" s="4"/>
      <c r="P44" s="4"/>
      <c r="Q44" s="4"/>
      <c r="R44" s="4"/>
      <c r="S44" s="72"/>
    </row>
    <row r="45" spans="1:19" ht="13.5" thickTop="1">
      <c r="A45" s="8"/>
      <c r="B45" s="1"/>
      <c r="C45" s="95"/>
      <c r="D45" s="94" t="s">
        <v>198</v>
      </c>
      <c r="E45" s="1"/>
      <c r="F45" s="6"/>
      <c r="G45" s="94" t="s">
        <v>190</v>
      </c>
      <c r="H45" s="1"/>
      <c r="I45" s="7"/>
      <c r="J45" s="7"/>
      <c r="K45" s="7"/>
      <c r="L45" s="7"/>
      <c r="M45" s="7"/>
      <c r="N45" s="7"/>
      <c r="O45" s="1"/>
      <c r="P45" s="1"/>
      <c r="Q45" s="1"/>
      <c r="R45" s="1"/>
      <c r="S45" s="81"/>
    </row>
    <row r="46" spans="1:19" ht="13.5" thickBot="1">
      <c r="A46" s="8"/>
      <c r="B46" s="4"/>
      <c r="C46" s="77"/>
      <c r="D46" s="13" t="s">
        <v>187</v>
      </c>
      <c r="E46" s="14"/>
      <c r="F46" s="15"/>
      <c r="G46" s="16" t="s">
        <v>200</v>
      </c>
      <c r="H46" s="14"/>
      <c r="I46" s="17"/>
      <c r="J46" s="17"/>
      <c r="K46" s="17"/>
      <c r="L46" s="17"/>
      <c r="M46" s="17"/>
      <c r="N46" s="17"/>
      <c r="O46" s="14"/>
      <c r="P46" s="4"/>
      <c r="Q46" s="4"/>
      <c r="R46" s="4"/>
      <c r="S46" s="72"/>
    </row>
    <row r="47" spans="1:19" s="9" customFormat="1" ht="13.5" thickTop="1">
      <c r="A47" s="12" t="s">
        <v>194</v>
      </c>
      <c r="C47" s="79" t="s">
        <v>189</v>
      </c>
      <c r="D47" s="18" t="s">
        <v>0</v>
      </c>
      <c r="E47" s="19" t="s">
        <v>1</v>
      </c>
      <c r="F47" s="11"/>
      <c r="G47" s="18" t="s">
        <v>2</v>
      </c>
      <c r="H47" s="78" t="s">
        <v>193</v>
      </c>
      <c r="I47" s="21"/>
      <c r="J47" s="67"/>
      <c r="K47" s="21"/>
      <c r="L47" s="71"/>
      <c r="M47" s="21"/>
      <c r="N47" s="21"/>
      <c r="O47" s="22"/>
      <c r="P47" s="101" t="s">
        <v>3</v>
      </c>
      <c r="Q47" s="23"/>
      <c r="R47" s="82"/>
      <c r="S47" s="102"/>
    </row>
    <row r="48" spans="1:19" ht="12.75">
      <c r="A48" s="8"/>
      <c r="B48" s="9"/>
      <c r="C48" s="79" t="s">
        <v>191</v>
      </c>
      <c r="D48" s="18" t="s">
        <v>4</v>
      </c>
      <c r="E48" s="24" t="s">
        <v>5</v>
      </c>
      <c r="F48" s="25"/>
      <c r="G48" s="18" t="s">
        <v>6</v>
      </c>
      <c r="H48" s="20" t="s">
        <v>7</v>
      </c>
      <c r="I48" s="26"/>
      <c r="J48" s="78" t="s">
        <v>192</v>
      </c>
      <c r="K48" s="26"/>
      <c r="L48" s="20" t="s">
        <v>8</v>
      </c>
      <c r="M48" s="26"/>
      <c r="N48" s="20" t="s">
        <v>9</v>
      </c>
      <c r="O48" s="27"/>
      <c r="P48" s="28" t="s">
        <v>10</v>
      </c>
      <c r="Q48" s="4"/>
      <c r="R48" s="29" t="s">
        <v>11</v>
      </c>
      <c r="S48" s="30"/>
    </row>
    <row r="49" spans="1:19" s="92" customFormat="1" ht="13.5" thickBot="1">
      <c r="A49" s="84"/>
      <c r="B49" s="85"/>
      <c r="C49" s="86" t="s">
        <v>195</v>
      </c>
      <c r="D49" s="87" t="s">
        <v>12</v>
      </c>
      <c r="E49" s="88" t="s">
        <v>13</v>
      </c>
      <c r="F49" s="88" t="s">
        <v>14</v>
      </c>
      <c r="G49" s="87" t="s">
        <v>15</v>
      </c>
      <c r="H49" s="88" t="s">
        <v>13</v>
      </c>
      <c r="I49" s="88" t="s">
        <v>14</v>
      </c>
      <c r="J49" s="88" t="s">
        <v>13</v>
      </c>
      <c r="K49" s="88" t="s">
        <v>14</v>
      </c>
      <c r="L49" s="88" t="s">
        <v>13</v>
      </c>
      <c r="M49" s="88" t="s">
        <v>14</v>
      </c>
      <c r="N49" s="88" t="s">
        <v>13</v>
      </c>
      <c r="O49" s="89" t="s">
        <v>14</v>
      </c>
      <c r="P49" s="88" t="s">
        <v>13</v>
      </c>
      <c r="Q49" s="90" t="s">
        <v>14</v>
      </c>
      <c r="R49" s="88" t="s">
        <v>13</v>
      </c>
      <c r="S49" s="91" t="s">
        <v>14</v>
      </c>
    </row>
    <row r="50" spans="1:19" ht="13.5" thickTop="1">
      <c r="A50" s="47">
        <v>33</v>
      </c>
      <c r="B50" s="74" t="s">
        <v>49</v>
      </c>
      <c r="C50" s="76">
        <v>33.345759552656105</v>
      </c>
      <c r="D50" s="38">
        <v>282</v>
      </c>
      <c r="E50" s="39">
        <f>14+30</f>
        <v>44</v>
      </c>
      <c r="F50" s="42">
        <f t="shared" si="7"/>
        <v>15.602836879432624</v>
      </c>
      <c r="G50" s="40">
        <f>15+31</f>
        <v>46</v>
      </c>
      <c r="H50" s="41">
        <v>0</v>
      </c>
      <c r="I50" s="42">
        <f aca="true" t="shared" si="9" ref="I50:I73">+(H50/$G50)*100</f>
        <v>0</v>
      </c>
      <c r="J50" s="41">
        <v>0</v>
      </c>
      <c r="K50" s="42">
        <f t="shared" si="8"/>
        <v>0</v>
      </c>
      <c r="L50" s="62">
        <v>0</v>
      </c>
      <c r="M50" s="42">
        <f t="shared" si="1"/>
        <v>0</v>
      </c>
      <c r="N50" s="41">
        <v>0</v>
      </c>
      <c r="O50" s="43">
        <f t="shared" si="2"/>
        <v>0</v>
      </c>
      <c r="P50" s="44">
        <f aca="true" t="shared" si="10" ref="P50:P81">SUM(H50)+J50+L50+N50</f>
        <v>0</v>
      </c>
      <c r="Q50" s="42">
        <f t="shared" si="4"/>
        <v>0</v>
      </c>
      <c r="R50" s="93">
        <f aca="true" t="shared" si="11" ref="R50:R82">+L50+N50</f>
        <v>0</v>
      </c>
      <c r="S50" s="45">
        <f t="shared" si="6"/>
        <v>0</v>
      </c>
    </row>
    <row r="51" spans="1:19" ht="12.75">
      <c r="A51" s="47">
        <v>34</v>
      </c>
      <c r="B51" s="74" t="s">
        <v>50</v>
      </c>
      <c r="C51" s="76">
        <v>42.0631859462113</v>
      </c>
      <c r="D51" s="38">
        <v>1923</v>
      </c>
      <c r="E51" s="39">
        <f>567+325</f>
        <v>892</v>
      </c>
      <c r="F51" s="42">
        <f t="shared" si="7"/>
        <v>46.38585543421737</v>
      </c>
      <c r="G51" s="40">
        <f>569+325</f>
        <v>894</v>
      </c>
      <c r="H51" s="41">
        <v>7</v>
      </c>
      <c r="I51" s="42">
        <f t="shared" si="9"/>
        <v>0.7829977628635347</v>
      </c>
      <c r="J51" s="65">
        <v>4</v>
      </c>
      <c r="K51" s="42">
        <f t="shared" si="8"/>
        <v>0.44742729306487694</v>
      </c>
      <c r="L51" s="62">
        <v>2</v>
      </c>
      <c r="M51" s="42">
        <f t="shared" si="1"/>
        <v>0.22371364653243847</v>
      </c>
      <c r="N51" s="41">
        <v>0</v>
      </c>
      <c r="O51" s="43">
        <f t="shared" si="2"/>
        <v>0</v>
      </c>
      <c r="P51" s="44">
        <f t="shared" si="10"/>
        <v>13</v>
      </c>
      <c r="Q51" s="42">
        <f t="shared" si="4"/>
        <v>1.45413870246085</v>
      </c>
      <c r="R51" s="93">
        <f t="shared" si="11"/>
        <v>2</v>
      </c>
      <c r="S51" s="45">
        <f t="shared" si="6"/>
        <v>0.22371364653243847</v>
      </c>
    </row>
    <row r="52" spans="1:19" ht="12.75">
      <c r="A52" s="47">
        <v>35</v>
      </c>
      <c r="B52" s="74" t="s">
        <v>51</v>
      </c>
      <c r="C52" s="76">
        <v>69.30212014134275</v>
      </c>
      <c r="D52" s="38">
        <v>810</v>
      </c>
      <c r="E52" s="39">
        <f>120+128</f>
        <v>248</v>
      </c>
      <c r="F52" s="42">
        <f t="shared" si="7"/>
        <v>30.617283950617285</v>
      </c>
      <c r="G52" s="40">
        <f>122+127</f>
        <v>249</v>
      </c>
      <c r="H52" s="41">
        <v>0</v>
      </c>
      <c r="I52" s="42">
        <f t="shared" si="9"/>
        <v>0</v>
      </c>
      <c r="J52" s="41">
        <v>0</v>
      </c>
      <c r="K52" s="42">
        <f t="shared" si="8"/>
        <v>0</v>
      </c>
      <c r="L52" s="62">
        <v>0</v>
      </c>
      <c r="M52" s="42">
        <f t="shared" si="1"/>
        <v>0</v>
      </c>
      <c r="N52" s="41">
        <v>0</v>
      </c>
      <c r="O52" s="43">
        <f t="shared" si="2"/>
        <v>0</v>
      </c>
      <c r="P52" s="44">
        <f t="shared" si="10"/>
        <v>0</v>
      </c>
      <c r="Q52" s="42">
        <f t="shared" si="4"/>
        <v>0</v>
      </c>
      <c r="R52" s="93">
        <f t="shared" si="11"/>
        <v>0</v>
      </c>
      <c r="S52" s="45">
        <f t="shared" si="6"/>
        <v>0</v>
      </c>
    </row>
    <row r="53" spans="1:19" ht="12.75">
      <c r="A53" s="47">
        <v>36</v>
      </c>
      <c r="B53" s="74" t="s">
        <v>52</v>
      </c>
      <c r="C53" s="76">
        <v>58.481675392670155</v>
      </c>
      <c r="D53" s="38">
        <v>102</v>
      </c>
      <c r="E53" s="39">
        <f>25+29</f>
        <v>54</v>
      </c>
      <c r="F53" s="42">
        <f t="shared" si="7"/>
        <v>52.94117647058824</v>
      </c>
      <c r="G53" s="40">
        <f>24+30</f>
        <v>54</v>
      </c>
      <c r="H53" s="41">
        <v>0</v>
      </c>
      <c r="I53" s="42">
        <f t="shared" si="9"/>
        <v>0</v>
      </c>
      <c r="J53" s="41">
        <v>0</v>
      </c>
      <c r="K53" s="42">
        <f t="shared" si="8"/>
        <v>0</v>
      </c>
      <c r="L53" s="62">
        <v>0</v>
      </c>
      <c r="M53" s="42">
        <f t="shared" si="1"/>
        <v>0</v>
      </c>
      <c r="N53" s="41">
        <v>0</v>
      </c>
      <c r="O53" s="43">
        <f t="shared" si="2"/>
        <v>0</v>
      </c>
      <c r="P53" s="44">
        <f t="shared" si="10"/>
        <v>0</v>
      </c>
      <c r="Q53" s="42">
        <f t="shared" si="4"/>
        <v>0</v>
      </c>
      <c r="R53" s="93">
        <f t="shared" si="11"/>
        <v>0</v>
      </c>
      <c r="S53" s="45">
        <f t="shared" si="6"/>
        <v>0</v>
      </c>
    </row>
    <row r="54" spans="1:19" ht="12.75">
      <c r="A54" s="47">
        <v>37</v>
      </c>
      <c r="B54" s="74" t="s">
        <v>53</v>
      </c>
      <c r="C54" s="76">
        <v>59.73419540229885</v>
      </c>
      <c r="D54" s="38">
        <v>320</v>
      </c>
      <c r="E54" s="39">
        <f>67+51</f>
        <v>118</v>
      </c>
      <c r="F54" s="42">
        <f t="shared" si="7"/>
        <v>36.875</v>
      </c>
      <c r="G54" s="40">
        <f>69+51</f>
        <v>120</v>
      </c>
      <c r="H54" s="41">
        <v>3</v>
      </c>
      <c r="I54" s="42">
        <f t="shared" si="9"/>
        <v>2.5</v>
      </c>
      <c r="J54" s="41">
        <v>0</v>
      </c>
      <c r="K54" s="42">
        <f t="shared" si="8"/>
        <v>0</v>
      </c>
      <c r="L54" s="62">
        <v>0</v>
      </c>
      <c r="M54" s="42">
        <f t="shared" si="1"/>
        <v>0</v>
      </c>
      <c r="N54" s="41">
        <v>0</v>
      </c>
      <c r="O54" s="43">
        <f t="shared" si="2"/>
        <v>0</v>
      </c>
      <c r="P54" s="44">
        <f t="shared" si="10"/>
        <v>3</v>
      </c>
      <c r="Q54" s="42">
        <f t="shared" si="4"/>
        <v>2.5</v>
      </c>
      <c r="R54" s="93">
        <f t="shared" si="11"/>
        <v>0</v>
      </c>
      <c r="S54" s="45">
        <f t="shared" si="6"/>
        <v>0</v>
      </c>
    </row>
    <row r="55" spans="1:19" ht="12.75">
      <c r="A55" s="47">
        <v>38</v>
      </c>
      <c r="B55" s="74" t="s">
        <v>54</v>
      </c>
      <c r="C55" s="76">
        <v>34.73818646232439</v>
      </c>
      <c r="D55" s="38">
        <v>157</v>
      </c>
      <c r="E55" s="39">
        <f>32+23</f>
        <v>55</v>
      </c>
      <c r="F55" s="42">
        <f t="shared" si="7"/>
        <v>35.03184713375796</v>
      </c>
      <c r="G55" s="40">
        <f>32+24</f>
        <v>56</v>
      </c>
      <c r="H55" s="41">
        <v>0</v>
      </c>
      <c r="I55" s="42">
        <f t="shared" si="9"/>
        <v>0</v>
      </c>
      <c r="J55" s="41">
        <v>0</v>
      </c>
      <c r="K55" s="42">
        <f t="shared" si="8"/>
        <v>0</v>
      </c>
      <c r="L55" s="62">
        <v>0</v>
      </c>
      <c r="M55" s="42">
        <f t="shared" si="1"/>
        <v>0</v>
      </c>
      <c r="N55" s="41">
        <v>0</v>
      </c>
      <c r="O55" s="43">
        <f t="shared" si="2"/>
        <v>0</v>
      </c>
      <c r="P55" s="44">
        <f t="shared" si="10"/>
        <v>0</v>
      </c>
      <c r="Q55" s="42">
        <f t="shared" si="4"/>
        <v>0</v>
      </c>
      <c r="R55" s="93">
        <f t="shared" si="11"/>
        <v>0</v>
      </c>
      <c r="S55" s="45">
        <f t="shared" si="6"/>
        <v>0</v>
      </c>
    </row>
    <row r="56" spans="1:19" ht="12.75">
      <c r="A56" s="47">
        <v>39</v>
      </c>
      <c r="B56" s="74" t="s">
        <v>55</v>
      </c>
      <c r="C56" s="76">
        <v>34</v>
      </c>
      <c r="D56" s="38">
        <v>38</v>
      </c>
      <c r="E56" s="39">
        <v>5</v>
      </c>
      <c r="F56" s="42">
        <f t="shared" si="7"/>
        <v>13.157894736842104</v>
      </c>
      <c r="G56" s="40">
        <v>5</v>
      </c>
      <c r="H56" s="41">
        <v>0</v>
      </c>
      <c r="I56" s="42">
        <f t="shared" si="9"/>
        <v>0</v>
      </c>
      <c r="J56" s="41">
        <v>0</v>
      </c>
      <c r="K56" s="42">
        <f t="shared" si="8"/>
        <v>0</v>
      </c>
      <c r="L56" s="62">
        <v>0</v>
      </c>
      <c r="M56" s="42">
        <f t="shared" si="1"/>
        <v>0</v>
      </c>
      <c r="N56" s="41">
        <v>0</v>
      </c>
      <c r="O56" s="43">
        <f t="shared" si="2"/>
        <v>0</v>
      </c>
      <c r="P56" s="44">
        <f t="shared" si="10"/>
        <v>0</v>
      </c>
      <c r="Q56" s="42">
        <f t="shared" si="4"/>
        <v>0</v>
      </c>
      <c r="R56" s="93">
        <f t="shared" si="11"/>
        <v>0</v>
      </c>
      <c r="S56" s="45">
        <f t="shared" si="6"/>
        <v>0</v>
      </c>
    </row>
    <row r="57" spans="1:19" ht="12.75">
      <c r="A57" s="47">
        <v>40</v>
      </c>
      <c r="B57" s="74" t="s">
        <v>56</v>
      </c>
      <c r="C57" s="76">
        <v>31</v>
      </c>
      <c r="D57" s="38">
        <v>135</v>
      </c>
      <c r="E57" s="39">
        <f>28+14</f>
        <v>42</v>
      </c>
      <c r="F57" s="42">
        <f t="shared" si="7"/>
        <v>31.11111111111111</v>
      </c>
      <c r="G57" s="40">
        <f>28+14</f>
        <v>42</v>
      </c>
      <c r="H57" s="41">
        <v>0</v>
      </c>
      <c r="I57" s="42">
        <f t="shared" si="9"/>
        <v>0</v>
      </c>
      <c r="J57" s="41">
        <v>0</v>
      </c>
      <c r="K57" s="42">
        <f t="shared" si="8"/>
        <v>0</v>
      </c>
      <c r="L57" s="62">
        <v>0</v>
      </c>
      <c r="M57" s="42">
        <f t="shared" si="1"/>
        <v>0</v>
      </c>
      <c r="N57" s="41">
        <v>0</v>
      </c>
      <c r="O57" s="43">
        <f t="shared" si="2"/>
        <v>0</v>
      </c>
      <c r="P57" s="44">
        <f t="shared" si="10"/>
        <v>0</v>
      </c>
      <c r="Q57" s="42">
        <f t="shared" si="4"/>
        <v>0</v>
      </c>
      <c r="R57" s="93">
        <f t="shared" si="11"/>
        <v>0</v>
      </c>
      <c r="S57" s="45">
        <f t="shared" si="6"/>
        <v>0</v>
      </c>
    </row>
    <row r="58" spans="1:19" ht="12.75">
      <c r="A58" s="47">
        <v>41</v>
      </c>
      <c r="B58" s="74" t="s">
        <v>57</v>
      </c>
      <c r="C58" s="76">
        <v>45</v>
      </c>
      <c r="D58" s="38">
        <v>231</v>
      </c>
      <c r="E58" s="39">
        <f>36+36</f>
        <v>72</v>
      </c>
      <c r="F58" s="42">
        <f t="shared" si="7"/>
        <v>31.16883116883117</v>
      </c>
      <c r="G58" s="40">
        <f>36+36</f>
        <v>72</v>
      </c>
      <c r="H58" s="41">
        <v>1</v>
      </c>
      <c r="I58" s="42">
        <f t="shared" si="9"/>
        <v>1.3888888888888888</v>
      </c>
      <c r="J58" s="41">
        <v>0</v>
      </c>
      <c r="K58" s="42">
        <f t="shared" si="8"/>
        <v>0</v>
      </c>
      <c r="L58" s="62">
        <v>1</v>
      </c>
      <c r="M58" s="42">
        <f t="shared" si="1"/>
        <v>1.3888888888888888</v>
      </c>
      <c r="N58" s="41">
        <v>0</v>
      </c>
      <c r="O58" s="43">
        <f t="shared" si="2"/>
        <v>0</v>
      </c>
      <c r="P58" s="44">
        <f t="shared" si="10"/>
        <v>2</v>
      </c>
      <c r="Q58" s="42">
        <f t="shared" si="4"/>
        <v>2.7777777777777777</v>
      </c>
      <c r="R58" s="93">
        <f t="shared" si="11"/>
        <v>1</v>
      </c>
      <c r="S58" s="45">
        <f t="shared" si="6"/>
        <v>1.3888888888888888</v>
      </c>
    </row>
    <row r="59" spans="1:19" ht="12.75">
      <c r="A59" s="47">
        <v>42</v>
      </c>
      <c r="B59" s="74" t="s">
        <v>58</v>
      </c>
      <c r="C59" s="76">
        <v>41</v>
      </c>
      <c r="D59" s="38">
        <v>289</v>
      </c>
      <c r="E59" s="39">
        <f>28+36</f>
        <v>64</v>
      </c>
      <c r="F59" s="42">
        <f t="shared" si="7"/>
        <v>22.145328719723185</v>
      </c>
      <c r="G59" s="40">
        <f>28+37</f>
        <v>65</v>
      </c>
      <c r="H59" s="41">
        <v>1</v>
      </c>
      <c r="I59" s="42">
        <f t="shared" si="9"/>
        <v>1.5384615384615385</v>
      </c>
      <c r="J59" s="41">
        <v>0</v>
      </c>
      <c r="K59" s="42">
        <f t="shared" si="8"/>
        <v>0</v>
      </c>
      <c r="L59" s="62">
        <v>0</v>
      </c>
      <c r="M59" s="42">
        <f t="shared" si="1"/>
        <v>0</v>
      </c>
      <c r="N59" s="41">
        <v>0</v>
      </c>
      <c r="O59" s="43">
        <f t="shared" si="2"/>
        <v>0</v>
      </c>
      <c r="P59" s="44">
        <f t="shared" si="10"/>
        <v>1</v>
      </c>
      <c r="Q59" s="42">
        <f t="shared" si="4"/>
        <v>1.5384615384615385</v>
      </c>
      <c r="R59" s="93">
        <f t="shared" si="11"/>
        <v>0</v>
      </c>
      <c r="S59" s="45">
        <f t="shared" si="6"/>
        <v>0</v>
      </c>
    </row>
    <row r="60" spans="1:19" ht="12.75">
      <c r="A60" s="47">
        <v>43</v>
      </c>
      <c r="B60" s="74" t="s">
        <v>59</v>
      </c>
      <c r="C60" s="76">
        <v>57</v>
      </c>
      <c r="D60" s="38">
        <v>1302</v>
      </c>
      <c r="E60" s="39">
        <f>296+171</f>
        <v>467</v>
      </c>
      <c r="F60" s="42">
        <f t="shared" si="7"/>
        <v>35.8678955453149</v>
      </c>
      <c r="G60" s="40">
        <f>298+173</f>
        <v>471</v>
      </c>
      <c r="H60" s="41">
        <v>4</v>
      </c>
      <c r="I60" s="42">
        <f t="shared" si="9"/>
        <v>0.8492569002123143</v>
      </c>
      <c r="J60" s="41">
        <v>4</v>
      </c>
      <c r="K60" s="42">
        <f t="shared" si="8"/>
        <v>0.8492569002123143</v>
      </c>
      <c r="L60" s="62">
        <v>1</v>
      </c>
      <c r="M60" s="42">
        <f t="shared" si="1"/>
        <v>0.21231422505307856</v>
      </c>
      <c r="N60" s="41">
        <v>0</v>
      </c>
      <c r="O60" s="43">
        <f t="shared" si="2"/>
        <v>0</v>
      </c>
      <c r="P60" s="44">
        <f t="shared" si="10"/>
        <v>9</v>
      </c>
      <c r="Q60" s="42">
        <f t="shared" si="4"/>
        <v>1.910828025477707</v>
      </c>
      <c r="R60" s="93">
        <f t="shared" si="11"/>
        <v>1</v>
      </c>
      <c r="S60" s="45">
        <f t="shared" si="6"/>
        <v>0.21231422505307856</v>
      </c>
    </row>
    <row r="61" spans="1:19" ht="12.75">
      <c r="A61" s="47">
        <v>44</v>
      </c>
      <c r="B61" s="74" t="s">
        <v>60</v>
      </c>
      <c r="C61" s="76">
        <v>49</v>
      </c>
      <c r="D61" s="38">
        <v>647</v>
      </c>
      <c r="E61" s="39">
        <f>141+80</f>
        <v>221</v>
      </c>
      <c r="F61" s="42">
        <f t="shared" si="7"/>
        <v>34.15765069551777</v>
      </c>
      <c r="G61" s="40">
        <f>143+83</f>
        <v>226</v>
      </c>
      <c r="H61" s="41">
        <v>1</v>
      </c>
      <c r="I61" s="42">
        <f t="shared" si="9"/>
        <v>0.4424778761061947</v>
      </c>
      <c r="J61" s="41">
        <v>0</v>
      </c>
      <c r="K61" s="42">
        <f t="shared" si="8"/>
        <v>0</v>
      </c>
      <c r="L61" s="62">
        <v>1</v>
      </c>
      <c r="M61" s="42">
        <f t="shared" si="1"/>
        <v>0.4424778761061947</v>
      </c>
      <c r="N61" s="41">
        <v>0</v>
      </c>
      <c r="O61" s="43">
        <f t="shared" si="2"/>
        <v>0</v>
      </c>
      <c r="P61" s="44">
        <f t="shared" si="10"/>
        <v>2</v>
      </c>
      <c r="Q61" s="42">
        <f t="shared" si="4"/>
        <v>0.8849557522123894</v>
      </c>
      <c r="R61" s="93">
        <f t="shared" si="11"/>
        <v>1</v>
      </c>
      <c r="S61" s="45">
        <f t="shared" si="6"/>
        <v>0.4424778761061947</v>
      </c>
    </row>
    <row r="62" spans="1:19" ht="12.75">
      <c r="A62" s="47">
        <v>45</v>
      </c>
      <c r="B62" s="74" t="s">
        <v>61</v>
      </c>
      <c r="C62" s="76">
        <v>39</v>
      </c>
      <c r="D62" s="38">
        <v>346</v>
      </c>
      <c r="E62" s="39">
        <f>94+66</f>
        <v>160</v>
      </c>
      <c r="F62" s="42">
        <f t="shared" si="7"/>
        <v>46.24277456647399</v>
      </c>
      <c r="G62" s="40">
        <f>95+68</f>
        <v>163</v>
      </c>
      <c r="H62" s="41">
        <v>0</v>
      </c>
      <c r="I62" s="42">
        <f t="shared" si="9"/>
        <v>0</v>
      </c>
      <c r="J62" s="41">
        <v>1</v>
      </c>
      <c r="K62" s="42">
        <f t="shared" si="8"/>
        <v>0.6134969325153374</v>
      </c>
      <c r="L62" s="62">
        <v>0</v>
      </c>
      <c r="M62" s="42">
        <f t="shared" si="1"/>
        <v>0</v>
      </c>
      <c r="N62" s="41">
        <v>0</v>
      </c>
      <c r="O62" s="43">
        <f t="shared" si="2"/>
        <v>0</v>
      </c>
      <c r="P62" s="44">
        <f t="shared" si="10"/>
        <v>1</v>
      </c>
      <c r="Q62" s="42">
        <f t="shared" si="4"/>
        <v>0.6134969325153374</v>
      </c>
      <c r="R62" s="93">
        <f t="shared" si="11"/>
        <v>0</v>
      </c>
      <c r="S62" s="45">
        <f t="shared" si="6"/>
        <v>0</v>
      </c>
    </row>
    <row r="63" spans="1:19" ht="12.75">
      <c r="A63" s="47">
        <v>46</v>
      </c>
      <c r="B63" s="74" t="s">
        <v>62</v>
      </c>
      <c r="C63" s="76">
        <v>40</v>
      </c>
      <c r="D63" s="38">
        <v>219</v>
      </c>
      <c r="E63" s="39">
        <f>65+49</f>
        <v>114</v>
      </c>
      <c r="F63" s="42">
        <f t="shared" si="7"/>
        <v>52.054794520547944</v>
      </c>
      <c r="G63" s="40">
        <f>64+50</f>
        <v>114</v>
      </c>
      <c r="H63" s="41">
        <v>0</v>
      </c>
      <c r="I63" s="42">
        <f t="shared" si="9"/>
        <v>0</v>
      </c>
      <c r="J63" s="41">
        <v>0</v>
      </c>
      <c r="K63" s="42">
        <f t="shared" si="8"/>
        <v>0</v>
      </c>
      <c r="L63" s="62">
        <v>0</v>
      </c>
      <c r="M63" s="42">
        <f t="shared" si="1"/>
        <v>0</v>
      </c>
      <c r="N63" s="41">
        <v>0</v>
      </c>
      <c r="O63" s="43">
        <f t="shared" si="2"/>
        <v>0</v>
      </c>
      <c r="P63" s="44">
        <f t="shared" si="10"/>
        <v>0</v>
      </c>
      <c r="Q63" s="42">
        <f t="shared" si="4"/>
        <v>0</v>
      </c>
      <c r="R63" s="93">
        <f t="shared" si="11"/>
        <v>0</v>
      </c>
      <c r="S63" s="45">
        <f t="shared" si="6"/>
        <v>0</v>
      </c>
    </row>
    <row r="64" spans="1:19" ht="12.75">
      <c r="A64" s="47">
        <v>47</v>
      </c>
      <c r="B64" s="74" t="s">
        <v>63</v>
      </c>
      <c r="C64" s="76">
        <v>39.784946236559136</v>
      </c>
      <c r="D64" s="38">
        <v>230</v>
      </c>
      <c r="E64" s="39">
        <f>28+30</f>
        <v>58</v>
      </c>
      <c r="F64" s="42">
        <f t="shared" si="7"/>
        <v>25.217391304347824</v>
      </c>
      <c r="G64" s="40">
        <f>27+30</f>
        <v>57</v>
      </c>
      <c r="H64" s="41">
        <v>2</v>
      </c>
      <c r="I64" s="42">
        <f t="shared" si="9"/>
        <v>3.508771929824561</v>
      </c>
      <c r="J64" s="41">
        <v>0</v>
      </c>
      <c r="K64" s="42">
        <f t="shared" si="8"/>
        <v>0</v>
      </c>
      <c r="L64" s="62">
        <v>0</v>
      </c>
      <c r="M64" s="42">
        <f t="shared" si="1"/>
        <v>0</v>
      </c>
      <c r="N64" s="41">
        <v>0</v>
      </c>
      <c r="O64" s="43">
        <f t="shared" si="2"/>
        <v>0</v>
      </c>
      <c r="P64" s="44">
        <f t="shared" si="10"/>
        <v>2</v>
      </c>
      <c r="Q64" s="42">
        <f t="shared" si="4"/>
        <v>3.508771929824561</v>
      </c>
      <c r="R64" s="93">
        <f t="shared" si="11"/>
        <v>0</v>
      </c>
      <c r="S64" s="45">
        <f t="shared" si="6"/>
        <v>0</v>
      </c>
    </row>
    <row r="65" spans="1:19" ht="12.75">
      <c r="A65" s="47">
        <v>48</v>
      </c>
      <c r="B65" s="74" t="s">
        <v>64</v>
      </c>
      <c r="C65" s="76">
        <v>30.2196787889976</v>
      </c>
      <c r="D65" s="38">
        <v>319</v>
      </c>
      <c r="E65" s="39">
        <f>27+38</f>
        <v>65</v>
      </c>
      <c r="F65" s="42">
        <f t="shared" si="7"/>
        <v>20.37617554858934</v>
      </c>
      <c r="G65" s="40">
        <f>27+37</f>
        <v>64</v>
      </c>
      <c r="H65" s="41">
        <v>0</v>
      </c>
      <c r="I65" s="42">
        <f t="shared" si="9"/>
        <v>0</v>
      </c>
      <c r="J65" s="41">
        <v>0</v>
      </c>
      <c r="K65" s="42">
        <f t="shared" si="8"/>
        <v>0</v>
      </c>
      <c r="L65" s="62">
        <v>0</v>
      </c>
      <c r="M65" s="42">
        <f t="shared" si="1"/>
        <v>0</v>
      </c>
      <c r="N65" s="41">
        <v>0</v>
      </c>
      <c r="O65" s="43">
        <f t="shared" si="2"/>
        <v>0</v>
      </c>
      <c r="P65" s="44">
        <f t="shared" si="10"/>
        <v>0</v>
      </c>
      <c r="Q65" s="42">
        <f t="shared" si="4"/>
        <v>0</v>
      </c>
      <c r="R65" s="93">
        <f t="shared" si="11"/>
        <v>0</v>
      </c>
      <c r="S65" s="45">
        <f t="shared" si="6"/>
        <v>0</v>
      </c>
    </row>
    <row r="66" spans="1:19" ht="12.75">
      <c r="A66" s="47">
        <v>49</v>
      </c>
      <c r="B66" s="74" t="s">
        <v>65</v>
      </c>
      <c r="C66" s="76">
        <v>49.09346945960218</v>
      </c>
      <c r="D66" s="38">
        <v>1008</v>
      </c>
      <c r="E66" s="39">
        <f>119+103</f>
        <v>222</v>
      </c>
      <c r="F66" s="42">
        <f t="shared" si="7"/>
        <v>22.023809523809522</v>
      </c>
      <c r="G66" s="40">
        <f>116+102</f>
        <v>218</v>
      </c>
      <c r="H66" s="41">
        <v>4</v>
      </c>
      <c r="I66" s="42">
        <f t="shared" si="9"/>
        <v>1.834862385321101</v>
      </c>
      <c r="J66" s="52">
        <v>0</v>
      </c>
      <c r="K66" s="42">
        <f t="shared" si="8"/>
        <v>0</v>
      </c>
      <c r="L66" s="62">
        <v>0</v>
      </c>
      <c r="M66" s="42">
        <f t="shared" si="1"/>
        <v>0</v>
      </c>
      <c r="N66" s="41">
        <v>0</v>
      </c>
      <c r="O66" s="43">
        <f t="shared" si="2"/>
        <v>0</v>
      </c>
      <c r="P66" s="44">
        <f t="shared" si="10"/>
        <v>4</v>
      </c>
      <c r="Q66" s="42">
        <f t="shared" si="4"/>
        <v>1.834862385321101</v>
      </c>
      <c r="R66" s="93">
        <f t="shared" si="11"/>
        <v>0</v>
      </c>
      <c r="S66" s="45">
        <f t="shared" si="6"/>
        <v>0</v>
      </c>
    </row>
    <row r="67" spans="1:19" ht="12.75">
      <c r="A67" s="47">
        <v>50</v>
      </c>
      <c r="B67" s="74" t="s">
        <v>66</v>
      </c>
      <c r="C67" s="76">
        <v>46.724890829694324</v>
      </c>
      <c r="D67" s="38">
        <v>154</v>
      </c>
      <c r="E67" s="39">
        <f>70+51</f>
        <v>121</v>
      </c>
      <c r="F67" s="42">
        <f t="shared" si="7"/>
        <v>78.57142857142857</v>
      </c>
      <c r="G67" s="40">
        <f>67+51</f>
        <v>118</v>
      </c>
      <c r="H67" s="41">
        <v>1</v>
      </c>
      <c r="I67" s="42">
        <f t="shared" si="9"/>
        <v>0.847457627118644</v>
      </c>
      <c r="J67" s="41">
        <v>0</v>
      </c>
      <c r="K67" s="42">
        <f t="shared" si="8"/>
        <v>0</v>
      </c>
      <c r="L67" s="62">
        <v>0</v>
      </c>
      <c r="M67" s="42">
        <f t="shared" si="1"/>
        <v>0</v>
      </c>
      <c r="N67" s="41">
        <v>0</v>
      </c>
      <c r="O67" s="43">
        <f t="shared" si="2"/>
        <v>0</v>
      </c>
      <c r="P67" s="44">
        <f t="shared" si="10"/>
        <v>1</v>
      </c>
      <c r="Q67" s="42">
        <f t="shared" si="4"/>
        <v>0.847457627118644</v>
      </c>
      <c r="R67" s="93">
        <f t="shared" si="11"/>
        <v>0</v>
      </c>
      <c r="S67" s="45">
        <f t="shared" si="6"/>
        <v>0</v>
      </c>
    </row>
    <row r="68" spans="1:19" ht="12.75">
      <c r="A68" s="47">
        <v>51</v>
      </c>
      <c r="B68" s="74" t="s">
        <v>67</v>
      </c>
      <c r="C68" s="76">
        <v>61.27252841314375</v>
      </c>
      <c r="D68" s="38">
        <v>1698</v>
      </c>
      <c r="E68" s="39">
        <f>548+452</f>
        <v>1000</v>
      </c>
      <c r="F68" s="42">
        <f t="shared" si="7"/>
        <v>58.89281507656066</v>
      </c>
      <c r="G68" s="40">
        <f>536+460</f>
        <v>996</v>
      </c>
      <c r="H68" s="41">
        <v>4</v>
      </c>
      <c r="I68" s="42">
        <f t="shared" si="9"/>
        <v>0.4016064257028112</v>
      </c>
      <c r="J68" s="66">
        <v>0</v>
      </c>
      <c r="K68" s="42">
        <f t="shared" si="8"/>
        <v>0</v>
      </c>
      <c r="L68" s="62">
        <v>0</v>
      </c>
      <c r="M68" s="42">
        <f t="shared" si="1"/>
        <v>0</v>
      </c>
      <c r="N68" s="41">
        <v>0</v>
      </c>
      <c r="O68" s="43">
        <f t="shared" si="2"/>
        <v>0</v>
      </c>
      <c r="P68" s="44">
        <f t="shared" si="10"/>
        <v>4</v>
      </c>
      <c r="Q68" s="42">
        <f t="shared" si="4"/>
        <v>0.4016064257028112</v>
      </c>
      <c r="R68" s="93">
        <f t="shared" si="11"/>
        <v>0</v>
      </c>
      <c r="S68" s="45">
        <f t="shared" si="6"/>
        <v>0</v>
      </c>
    </row>
    <row r="69" spans="1:19" ht="12.75">
      <c r="A69" s="47">
        <v>52</v>
      </c>
      <c r="B69" s="74" t="s">
        <v>68</v>
      </c>
      <c r="C69" s="76">
        <v>30.708341790135986</v>
      </c>
      <c r="D69" s="38">
        <v>502</v>
      </c>
      <c r="E69" s="39">
        <f>77+32</f>
        <v>109</v>
      </c>
      <c r="F69" s="42">
        <f t="shared" si="7"/>
        <v>21.713147410358566</v>
      </c>
      <c r="G69" s="40">
        <f>76+33</f>
        <v>109</v>
      </c>
      <c r="H69" s="41">
        <v>1</v>
      </c>
      <c r="I69" s="42">
        <f t="shared" si="9"/>
        <v>0.9174311926605505</v>
      </c>
      <c r="J69" s="41">
        <v>0</v>
      </c>
      <c r="K69" s="42">
        <f t="shared" si="8"/>
        <v>0</v>
      </c>
      <c r="L69" s="62">
        <v>0</v>
      </c>
      <c r="M69" s="42">
        <f t="shared" si="1"/>
        <v>0</v>
      </c>
      <c r="N69" s="41">
        <v>0</v>
      </c>
      <c r="O69" s="43">
        <f t="shared" si="2"/>
        <v>0</v>
      </c>
      <c r="P69" s="44">
        <f t="shared" si="10"/>
        <v>1</v>
      </c>
      <c r="Q69" s="42">
        <f t="shared" si="4"/>
        <v>0.9174311926605505</v>
      </c>
      <c r="R69" s="93">
        <f t="shared" si="11"/>
        <v>0</v>
      </c>
      <c r="S69" s="45">
        <f t="shared" si="6"/>
        <v>0</v>
      </c>
    </row>
    <row r="70" spans="1:19" ht="12.75">
      <c r="A70" s="47">
        <v>53</v>
      </c>
      <c r="B70" s="74" t="s">
        <v>69</v>
      </c>
      <c r="C70" s="76">
        <v>32.63009845288326</v>
      </c>
      <c r="D70" s="38">
        <v>34</v>
      </c>
      <c r="E70" s="39">
        <f>8+7</f>
        <v>15</v>
      </c>
      <c r="F70" s="42">
        <f t="shared" si="7"/>
        <v>44.11764705882353</v>
      </c>
      <c r="G70" s="40">
        <f>8+7</f>
        <v>15</v>
      </c>
      <c r="H70" s="41">
        <v>0</v>
      </c>
      <c r="I70" s="42">
        <f t="shared" si="9"/>
        <v>0</v>
      </c>
      <c r="J70" s="41">
        <v>0</v>
      </c>
      <c r="K70" s="42">
        <f t="shared" si="8"/>
        <v>0</v>
      </c>
      <c r="L70" s="62">
        <v>0</v>
      </c>
      <c r="M70" s="42">
        <f t="shared" si="1"/>
        <v>0</v>
      </c>
      <c r="N70" s="41">
        <v>0</v>
      </c>
      <c r="O70" s="43">
        <f t="shared" si="2"/>
        <v>0</v>
      </c>
      <c r="P70" s="44">
        <f t="shared" si="10"/>
        <v>0</v>
      </c>
      <c r="Q70" s="42">
        <f t="shared" si="4"/>
        <v>0</v>
      </c>
      <c r="R70" s="93">
        <f t="shared" si="11"/>
        <v>0</v>
      </c>
      <c r="S70" s="45">
        <f t="shared" si="6"/>
        <v>0</v>
      </c>
    </row>
    <row r="71" spans="1:19" ht="12.75">
      <c r="A71" s="47">
        <v>54</v>
      </c>
      <c r="B71" s="74" t="s">
        <v>70</v>
      </c>
      <c r="C71" s="76">
        <v>30.141113048993184</v>
      </c>
      <c r="D71" s="38">
        <v>876</v>
      </c>
      <c r="E71" s="39">
        <f>42+22</f>
        <v>64</v>
      </c>
      <c r="F71" s="42">
        <f t="shared" si="7"/>
        <v>7.30593607305936</v>
      </c>
      <c r="G71" s="40">
        <f>42+22</f>
        <v>64</v>
      </c>
      <c r="H71" s="41">
        <v>2</v>
      </c>
      <c r="I71" s="42">
        <f t="shared" si="9"/>
        <v>3.125</v>
      </c>
      <c r="J71" s="41">
        <v>0</v>
      </c>
      <c r="K71" s="42">
        <f t="shared" si="8"/>
        <v>0</v>
      </c>
      <c r="L71" s="62">
        <v>0</v>
      </c>
      <c r="M71" s="42">
        <f t="shared" si="1"/>
        <v>0</v>
      </c>
      <c r="N71" s="41">
        <v>0</v>
      </c>
      <c r="O71" s="43">
        <f t="shared" si="2"/>
        <v>0</v>
      </c>
      <c r="P71" s="44">
        <f t="shared" si="10"/>
        <v>2</v>
      </c>
      <c r="Q71" s="42">
        <f t="shared" si="4"/>
        <v>3.125</v>
      </c>
      <c r="R71" s="93">
        <f t="shared" si="11"/>
        <v>0</v>
      </c>
      <c r="S71" s="45">
        <f t="shared" si="6"/>
        <v>0</v>
      </c>
    </row>
    <row r="72" spans="1:19" ht="12.75">
      <c r="A72" s="47">
        <v>55</v>
      </c>
      <c r="B72" s="74" t="s">
        <v>71</v>
      </c>
      <c r="C72" s="76">
        <v>31.376518218623485</v>
      </c>
      <c r="D72" s="38">
        <v>48</v>
      </c>
      <c r="E72" s="39">
        <v>3</v>
      </c>
      <c r="F72" s="42">
        <f t="shared" si="7"/>
        <v>6.25</v>
      </c>
      <c r="G72" s="40">
        <v>3</v>
      </c>
      <c r="H72" s="41">
        <v>0</v>
      </c>
      <c r="I72" s="42">
        <f t="shared" si="9"/>
        <v>0</v>
      </c>
      <c r="J72" s="41">
        <v>1</v>
      </c>
      <c r="K72" s="42">
        <f t="shared" si="8"/>
        <v>33.33333333333333</v>
      </c>
      <c r="L72" s="62">
        <v>0</v>
      </c>
      <c r="M72" s="42">
        <f t="shared" si="1"/>
        <v>0</v>
      </c>
      <c r="N72" s="41">
        <v>0</v>
      </c>
      <c r="O72" s="43">
        <f t="shared" si="2"/>
        <v>0</v>
      </c>
      <c r="P72" s="44">
        <f t="shared" si="10"/>
        <v>1</v>
      </c>
      <c r="Q72" s="42">
        <f t="shared" si="4"/>
        <v>33.33333333333333</v>
      </c>
      <c r="R72" s="93">
        <f t="shared" si="11"/>
        <v>0</v>
      </c>
      <c r="S72" s="45">
        <f t="shared" si="6"/>
        <v>0</v>
      </c>
    </row>
    <row r="73" spans="1:19" ht="12.75">
      <c r="A73" s="47">
        <v>56</v>
      </c>
      <c r="B73" s="74" t="s">
        <v>72</v>
      </c>
      <c r="C73" s="76">
        <v>35.785953177257525</v>
      </c>
      <c r="D73" s="38">
        <v>280</v>
      </c>
      <c r="E73" s="39">
        <v>79</v>
      </c>
      <c r="F73" s="42">
        <f t="shared" si="7"/>
        <v>28.214285714285715</v>
      </c>
      <c r="G73" s="40">
        <f>57+19</f>
        <v>76</v>
      </c>
      <c r="H73" s="41">
        <v>0</v>
      </c>
      <c r="I73" s="42">
        <f t="shared" si="9"/>
        <v>0</v>
      </c>
      <c r="J73" s="41">
        <v>0</v>
      </c>
      <c r="K73" s="42">
        <f t="shared" si="8"/>
        <v>0</v>
      </c>
      <c r="L73" s="62">
        <v>0</v>
      </c>
      <c r="M73" s="42">
        <f t="shared" si="1"/>
        <v>0</v>
      </c>
      <c r="N73" s="41">
        <v>0</v>
      </c>
      <c r="O73" s="43">
        <f t="shared" si="2"/>
        <v>0</v>
      </c>
      <c r="P73" s="44">
        <f t="shared" si="10"/>
        <v>0</v>
      </c>
      <c r="Q73" s="42">
        <f t="shared" si="4"/>
        <v>0</v>
      </c>
      <c r="R73" s="93">
        <f t="shared" si="11"/>
        <v>0</v>
      </c>
      <c r="S73" s="45">
        <f t="shared" si="6"/>
        <v>0</v>
      </c>
    </row>
    <row r="74" spans="1:19" ht="12.75">
      <c r="A74" s="47">
        <v>57</v>
      </c>
      <c r="B74" s="74" t="s">
        <v>73</v>
      </c>
      <c r="C74" s="76">
        <v>61.380604626494225</v>
      </c>
      <c r="D74" s="38">
        <v>1679</v>
      </c>
      <c r="E74" s="39">
        <f>92+95</f>
        <v>187</v>
      </c>
      <c r="F74" s="42">
        <f t="shared" si="7"/>
        <v>11.137581893984514</v>
      </c>
      <c r="G74" s="40">
        <f>92+97</f>
        <v>189</v>
      </c>
      <c r="H74" s="41">
        <v>1</v>
      </c>
      <c r="I74" s="42">
        <f aca="true" t="shared" si="12" ref="I74:I137">+(H74/$G74)*100</f>
        <v>0.5291005291005291</v>
      </c>
      <c r="J74" s="41">
        <v>0</v>
      </c>
      <c r="K74" s="42">
        <f aca="true" t="shared" si="13" ref="K74:K137">+(J74/$G74)*100</f>
        <v>0</v>
      </c>
      <c r="L74" s="62">
        <v>1</v>
      </c>
      <c r="M74" s="42">
        <f aca="true" t="shared" si="14" ref="M74:M137">+(L74/$G74)*100</f>
        <v>0.5291005291005291</v>
      </c>
      <c r="N74" s="41">
        <v>0</v>
      </c>
      <c r="O74" s="43">
        <f aca="true" t="shared" si="15" ref="O74:O137">+(N74/$G74)*100</f>
        <v>0</v>
      </c>
      <c r="P74" s="44">
        <f t="shared" si="10"/>
        <v>2</v>
      </c>
      <c r="Q74" s="42">
        <f aca="true" t="shared" si="16" ref="Q74:Q137">+(P74/$G74)*100</f>
        <v>1.0582010582010581</v>
      </c>
      <c r="R74" s="93">
        <f t="shared" si="11"/>
        <v>1</v>
      </c>
      <c r="S74" s="45">
        <f t="shared" si="6"/>
        <v>0.5291005291005291</v>
      </c>
    </row>
    <row r="75" spans="1:19" ht="12.75">
      <c r="A75" s="47">
        <v>58</v>
      </c>
      <c r="B75" s="74" t="s">
        <v>74</v>
      </c>
      <c r="C75" s="76">
        <v>42.33995584988963</v>
      </c>
      <c r="D75" s="38">
        <v>232</v>
      </c>
      <c r="E75" s="39">
        <f>58+35</f>
        <v>93</v>
      </c>
      <c r="F75" s="42">
        <f t="shared" si="7"/>
        <v>40.08620689655172</v>
      </c>
      <c r="G75" s="40">
        <f>55+35</f>
        <v>90</v>
      </c>
      <c r="H75" s="41">
        <v>1</v>
      </c>
      <c r="I75" s="42">
        <f t="shared" si="12"/>
        <v>1.1111111111111112</v>
      </c>
      <c r="J75" s="41">
        <v>0</v>
      </c>
      <c r="K75" s="42">
        <f t="shared" si="13"/>
        <v>0</v>
      </c>
      <c r="L75" s="62">
        <v>1</v>
      </c>
      <c r="M75" s="42">
        <f t="shared" si="14"/>
        <v>1.1111111111111112</v>
      </c>
      <c r="N75" s="41">
        <v>0</v>
      </c>
      <c r="O75" s="43">
        <f t="shared" si="15"/>
        <v>0</v>
      </c>
      <c r="P75" s="44">
        <f t="shared" si="10"/>
        <v>2</v>
      </c>
      <c r="Q75" s="42">
        <f t="shared" si="16"/>
        <v>2.2222222222222223</v>
      </c>
      <c r="R75" s="93">
        <f t="shared" si="11"/>
        <v>1</v>
      </c>
      <c r="S75" s="45">
        <f aca="true" t="shared" si="17" ref="S75:S138">+(R75/$G75)*100</f>
        <v>1.1111111111111112</v>
      </c>
    </row>
    <row r="76" spans="1:19" ht="12.75">
      <c r="A76" s="47">
        <v>59</v>
      </c>
      <c r="B76" s="74" t="s">
        <v>75</v>
      </c>
      <c r="C76" s="76">
        <v>41.48632580261593</v>
      </c>
      <c r="D76" s="38">
        <v>1275</v>
      </c>
      <c r="E76" s="39">
        <f>305+111</f>
        <v>416</v>
      </c>
      <c r="F76" s="42">
        <f t="shared" si="7"/>
        <v>32.62745098039216</v>
      </c>
      <c r="G76" s="40">
        <f>299+116</f>
        <v>415</v>
      </c>
      <c r="H76" s="41">
        <v>0</v>
      </c>
      <c r="I76" s="42">
        <f t="shared" si="12"/>
        <v>0</v>
      </c>
      <c r="J76" s="41">
        <v>1</v>
      </c>
      <c r="K76" s="42">
        <f t="shared" si="13"/>
        <v>0.24096385542168677</v>
      </c>
      <c r="L76" s="62">
        <v>1</v>
      </c>
      <c r="M76" s="42">
        <f t="shared" si="14"/>
        <v>0.24096385542168677</v>
      </c>
      <c r="N76" s="41">
        <v>0</v>
      </c>
      <c r="O76" s="43">
        <f t="shared" si="15"/>
        <v>0</v>
      </c>
      <c r="P76" s="44">
        <f t="shared" si="10"/>
        <v>2</v>
      </c>
      <c r="Q76" s="42">
        <f t="shared" si="16"/>
        <v>0.48192771084337355</v>
      </c>
      <c r="R76" s="93">
        <f t="shared" si="11"/>
        <v>1</v>
      </c>
      <c r="S76" s="45">
        <f t="shared" si="17"/>
        <v>0.24096385542168677</v>
      </c>
    </row>
    <row r="77" spans="1:19" ht="12.75">
      <c r="A77" s="47">
        <v>60</v>
      </c>
      <c r="B77" s="74" t="s">
        <v>76</v>
      </c>
      <c r="C77" s="76">
        <v>30.605226960110045</v>
      </c>
      <c r="D77" s="38">
        <v>502</v>
      </c>
      <c r="E77" s="39">
        <f>92+31</f>
        <v>123</v>
      </c>
      <c r="F77" s="42">
        <f t="shared" si="7"/>
        <v>24.50199203187251</v>
      </c>
      <c r="G77" s="40">
        <f>90+31</f>
        <v>121</v>
      </c>
      <c r="H77" s="41">
        <v>2</v>
      </c>
      <c r="I77" s="42">
        <f t="shared" si="12"/>
        <v>1.6528925619834711</v>
      </c>
      <c r="J77" s="41">
        <v>0</v>
      </c>
      <c r="K77" s="42">
        <f t="shared" si="13"/>
        <v>0</v>
      </c>
      <c r="L77" s="62">
        <v>0</v>
      </c>
      <c r="M77" s="42">
        <f t="shared" si="14"/>
        <v>0</v>
      </c>
      <c r="N77" s="41">
        <v>0</v>
      </c>
      <c r="O77" s="43">
        <f t="shared" si="15"/>
        <v>0</v>
      </c>
      <c r="P77" s="44">
        <f t="shared" si="10"/>
        <v>2</v>
      </c>
      <c r="Q77" s="42">
        <f t="shared" si="16"/>
        <v>1.6528925619834711</v>
      </c>
      <c r="R77" s="93">
        <f t="shared" si="11"/>
        <v>0</v>
      </c>
      <c r="S77" s="45">
        <f t="shared" si="17"/>
        <v>0</v>
      </c>
    </row>
    <row r="78" spans="1:19" ht="12.75">
      <c r="A78" s="47">
        <v>61</v>
      </c>
      <c r="B78" s="74" t="s">
        <v>77</v>
      </c>
      <c r="C78" s="76">
        <v>40.467753366406804</v>
      </c>
      <c r="D78" s="38">
        <v>171</v>
      </c>
      <c r="E78" s="39">
        <f>16+16</f>
        <v>32</v>
      </c>
      <c r="F78" s="42">
        <f t="shared" si="7"/>
        <v>18.71345029239766</v>
      </c>
      <c r="G78" s="40">
        <f>16+17</f>
        <v>33</v>
      </c>
      <c r="H78" s="41">
        <v>0</v>
      </c>
      <c r="I78" s="42">
        <f t="shared" si="12"/>
        <v>0</v>
      </c>
      <c r="J78" s="41">
        <v>0</v>
      </c>
      <c r="K78" s="42">
        <f t="shared" si="13"/>
        <v>0</v>
      </c>
      <c r="L78" s="62">
        <v>0</v>
      </c>
      <c r="M78" s="42">
        <f t="shared" si="14"/>
        <v>0</v>
      </c>
      <c r="N78" s="41">
        <v>0</v>
      </c>
      <c r="O78" s="43">
        <f t="shared" si="15"/>
        <v>0</v>
      </c>
      <c r="P78" s="44">
        <f t="shared" si="10"/>
        <v>0</v>
      </c>
      <c r="Q78" s="42">
        <f t="shared" si="16"/>
        <v>0</v>
      </c>
      <c r="R78" s="93">
        <f t="shared" si="11"/>
        <v>0</v>
      </c>
      <c r="S78" s="45">
        <f t="shared" si="17"/>
        <v>0</v>
      </c>
    </row>
    <row r="79" spans="1:19" ht="12.75">
      <c r="A79" s="47">
        <v>62</v>
      </c>
      <c r="B79" s="74" t="s">
        <v>78</v>
      </c>
      <c r="C79" s="76">
        <v>52.36958745311967</v>
      </c>
      <c r="D79" s="38">
        <v>1235</v>
      </c>
      <c r="E79" s="39">
        <f>301+207</f>
        <v>508</v>
      </c>
      <c r="F79" s="42">
        <f t="shared" si="7"/>
        <v>41.13360323886639</v>
      </c>
      <c r="G79" s="40">
        <f>299+213</f>
        <v>512</v>
      </c>
      <c r="H79" s="41">
        <v>3</v>
      </c>
      <c r="I79" s="42">
        <f t="shared" si="12"/>
        <v>0.5859375</v>
      </c>
      <c r="J79" s="41">
        <v>2</v>
      </c>
      <c r="K79" s="42">
        <f t="shared" si="13"/>
        <v>0.390625</v>
      </c>
      <c r="L79" s="62">
        <v>3</v>
      </c>
      <c r="M79" s="42">
        <f t="shared" si="14"/>
        <v>0.5859375</v>
      </c>
      <c r="N79" s="41">
        <v>0</v>
      </c>
      <c r="O79" s="43">
        <f t="shared" si="15"/>
        <v>0</v>
      </c>
      <c r="P79" s="44">
        <f t="shared" si="10"/>
        <v>8</v>
      </c>
      <c r="Q79" s="42">
        <f t="shared" si="16"/>
        <v>1.5625</v>
      </c>
      <c r="R79" s="93">
        <f t="shared" si="11"/>
        <v>3</v>
      </c>
      <c r="S79" s="45">
        <f t="shared" si="17"/>
        <v>0.5859375</v>
      </c>
    </row>
    <row r="80" spans="1:19" ht="12.75">
      <c r="A80" s="47">
        <v>63</v>
      </c>
      <c r="B80" s="74" t="s">
        <v>79</v>
      </c>
      <c r="C80" s="76">
        <v>42.73381294964029</v>
      </c>
      <c r="D80" s="38">
        <v>35</v>
      </c>
      <c r="E80" s="39">
        <v>8</v>
      </c>
      <c r="F80" s="42">
        <f t="shared" si="7"/>
        <v>22.857142857142858</v>
      </c>
      <c r="G80" s="40">
        <v>8</v>
      </c>
      <c r="H80" s="41">
        <v>0</v>
      </c>
      <c r="I80" s="42">
        <f t="shared" si="12"/>
        <v>0</v>
      </c>
      <c r="J80" s="41">
        <v>0</v>
      </c>
      <c r="K80" s="42">
        <f t="shared" si="13"/>
        <v>0</v>
      </c>
      <c r="L80" s="62">
        <v>0</v>
      </c>
      <c r="M80" s="42">
        <f t="shared" si="14"/>
        <v>0</v>
      </c>
      <c r="N80" s="41">
        <v>0</v>
      </c>
      <c r="O80" s="43">
        <f t="shared" si="15"/>
        <v>0</v>
      </c>
      <c r="P80" s="44">
        <f t="shared" si="10"/>
        <v>0</v>
      </c>
      <c r="Q80" s="42">
        <f t="shared" si="16"/>
        <v>0</v>
      </c>
      <c r="R80" s="93">
        <f t="shared" si="11"/>
        <v>0</v>
      </c>
      <c r="S80" s="45">
        <f t="shared" si="17"/>
        <v>0</v>
      </c>
    </row>
    <row r="81" spans="1:19" ht="12.75">
      <c r="A81" s="47">
        <v>64</v>
      </c>
      <c r="B81" s="74" t="s">
        <v>80</v>
      </c>
      <c r="C81" s="76">
        <v>62.824816365216016</v>
      </c>
      <c r="D81" s="48">
        <v>4033</v>
      </c>
      <c r="E81" s="49">
        <f>1744+1302</f>
        <v>3046</v>
      </c>
      <c r="F81" s="42">
        <f t="shared" si="7"/>
        <v>75.52690304983884</v>
      </c>
      <c r="G81" s="51">
        <f>1737+1357</f>
        <v>3094</v>
      </c>
      <c r="H81" s="52">
        <v>97</v>
      </c>
      <c r="I81" s="50">
        <f t="shared" si="12"/>
        <v>3.1351001939237233</v>
      </c>
      <c r="J81" s="41">
        <v>39</v>
      </c>
      <c r="K81" s="50">
        <f t="shared" si="13"/>
        <v>1.2605042016806722</v>
      </c>
      <c r="L81" s="62">
        <v>28</v>
      </c>
      <c r="M81" s="50">
        <f t="shared" si="14"/>
        <v>0.904977375565611</v>
      </c>
      <c r="N81" s="52">
        <v>1</v>
      </c>
      <c r="O81" s="53">
        <f t="shared" si="15"/>
        <v>0.03232062055591467</v>
      </c>
      <c r="P81" s="44">
        <f t="shared" si="10"/>
        <v>165</v>
      </c>
      <c r="Q81" s="50">
        <f t="shared" si="16"/>
        <v>5.332902391725921</v>
      </c>
      <c r="R81" s="93">
        <f t="shared" si="11"/>
        <v>29</v>
      </c>
      <c r="S81" s="54">
        <f t="shared" si="17"/>
        <v>0.9372979961215255</v>
      </c>
    </row>
    <row r="82" spans="1:19" ht="13.5" thickBot="1">
      <c r="A82" s="47">
        <v>65</v>
      </c>
      <c r="B82" s="74" t="s">
        <v>81</v>
      </c>
      <c r="C82" s="76">
        <v>42.95125164690382</v>
      </c>
      <c r="D82" s="38">
        <v>41</v>
      </c>
      <c r="E82" s="39">
        <v>5</v>
      </c>
      <c r="F82" s="42">
        <f t="shared" si="7"/>
        <v>12.195121951219512</v>
      </c>
      <c r="G82" s="40">
        <v>5</v>
      </c>
      <c r="H82" s="41">
        <v>0</v>
      </c>
      <c r="I82" s="42">
        <f t="shared" si="12"/>
        <v>0</v>
      </c>
      <c r="J82" s="41">
        <v>0</v>
      </c>
      <c r="K82" s="42">
        <f t="shared" si="13"/>
        <v>0</v>
      </c>
      <c r="L82" s="62">
        <v>0</v>
      </c>
      <c r="M82" s="42">
        <f t="shared" si="14"/>
        <v>0</v>
      </c>
      <c r="N82" s="41">
        <v>0</v>
      </c>
      <c r="O82" s="43">
        <f t="shared" si="15"/>
        <v>0</v>
      </c>
      <c r="P82" s="44">
        <f>SUM(H82)+J82+L82+N82</f>
        <v>0</v>
      </c>
      <c r="Q82" s="42">
        <f t="shared" si="16"/>
        <v>0</v>
      </c>
      <c r="R82" s="93">
        <f t="shared" si="11"/>
        <v>0</v>
      </c>
      <c r="S82" s="45">
        <f t="shared" si="17"/>
        <v>0</v>
      </c>
    </row>
    <row r="83" spans="1:19" ht="13.5" thickTop="1">
      <c r="A83" s="80" t="s">
        <v>196</v>
      </c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81"/>
    </row>
    <row r="84" spans="1:19" ht="12.75">
      <c r="A84" s="3" t="s">
        <v>197</v>
      </c>
      <c r="B84" s="10"/>
      <c r="C84" s="10"/>
      <c r="D84" s="83"/>
      <c r="E84" s="83"/>
      <c r="F84" s="83"/>
      <c r="G84" s="83"/>
      <c r="H84" s="83"/>
      <c r="I84" s="83"/>
      <c r="J84" s="5"/>
      <c r="K84" s="83"/>
      <c r="L84" s="83"/>
      <c r="M84" s="83"/>
      <c r="N84" s="83"/>
      <c r="O84" s="83"/>
      <c r="P84" s="83"/>
      <c r="Q84" s="83"/>
      <c r="R84" s="10"/>
      <c r="S84" s="72"/>
    </row>
    <row r="85" spans="1:19" ht="13.5" thickBot="1">
      <c r="A85" s="31"/>
      <c r="B85" s="4"/>
      <c r="C85" s="4"/>
      <c r="D85" s="5"/>
      <c r="E85" s="5"/>
      <c r="F85" s="5"/>
      <c r="G85" s="5"/>
      <c r="H85" s="5"/>
      <c r="I85" s="5"/>
      <c r="K85" s="5"/>
      <c r="L85" s="5"/>
      <c r="M85" s="5"/>
      <c r="N85" s="5"/>
      <c r="O85" s="4"/>
      <c r="P85" s="4"/>
      <c r="Q85" s="4"/>
      <c r="R85" s="4"/>
      <c r="S85" s="72"/>
    </row>
    <row r="86" spans="1:19" ht="13.5" thickTop="1">
      <c r="A86" s="8"/>
      <c r="B86" s="1"/>
      <c r="C86" s="95"/>
      <c r="D86" s="94" t="s">
        <v>198</v>
      </c>
      <c r="E86" s="1"/>
      <c r="F86" s="6"/>
      <c r="G86" s="94" t="s">
        <v>190</v>
      </c>
      <c r="H86" s="1"/>
      <c r="I86" s="7"/>
      <c r="J86" s="7"/>
      <c r="K86" s="7"/>
      <c r="L86" s="7"/>
      <c r="M86" s="7"/>
      <c r="N86" s="7"/>
      <c r="O86" s="1"/>
      <c r="P86" s="1"/>
      <c r="Q86" s="1"/>
      <c r="R86" s="1"/>
      <c r="S86" s="81"/>
    </row>
    <row r="87" spans="1:19" ht="13.5" thickBot="1">
      <c r="A87" s="8"/>
      <c r="B87" s="4"/>
      <c r="C87" s="77"/>
      <c r="D87" s="13" t="s">
        <v>187</v>
      </c>
      <c r="E87" s="14"/>
      <c r="F87" s="15"/>
      <c r="G87" s="16" t="s">
        <v>200</v>
      </c>
      <c r="H87" s="14"/>
      <c r="I87" s="17"/>
      <c r="J87" s="17"/>
      <c r="K87" s="17"/>
      <c r="L87" s="17"/>
      <c r="M87" s="17"/>
      <c r="N87" s="17"/>
      <c r="O87" s="14"/>
      <c r="P87" s="4"/>
      <c r="Q87" s="4"/>
      <c r="R87" s="4"/>
      <c r="S87" s="72"/>
    </row>
    <row r="88" spans="1:19" s="9" customFormat="1" ht="13.5" thickTop="1">
      <c r="A88" s="12" t="s">
        <v>194</v>
      </c>
      <c r="C88" s="79" t="s">
        <v>189</v>
      </c>
      <c r="D88" s="18" t="s">
        <v>0</v>
      </c>
      <c r="E88" s="19" t="s">
        <v>1</v>
      </c>
      <c r="F88" s="11"/>
      <c r="G88" s="18" t="s">
        <v>2</v>
      </c>
      <c r="H88" s="78" t="s">
        <v>193</v>
      </c>
      <c r="I88" s="21"/>
      <c r="J88" s="67"/>
      <c r="K88" s="21"/>
      <c r="L88" s="71"/>
      <c r="M88" s="21"/>
      <c r="N88" s="21"/>
      <c r="O88" s="22"/>
      <c r="P88" s="101" t="s">
        <v>3</v>
      </c>
      <c r="Q88" s="23"/>
      <c r="R88" s="82"/>
      <c r="S88" s="102"/>
    </row>
    <row r="89" spans="1:19" ht="12.75">
      <c r="A89" s="8"/>
      <c r="B89" s="9"/>
      <c r="C89" s="79" t="s">
        <v>191</v>
      </c>
      <c r="D89" s="18" t="s">
        <v>4</v>
      </c>
      <c r="E89" s="24" t="s">
        <v>5</v>
      </c>
      <c r="F89" s="25"/>
      <c r="G89" s="18" t="s">
        <v>6</v>
      </c>
      <c r="H89" s="20" t="s">
        <v>7</v>
      </c>
      <c r="I89" s="26"/>
      <c r="J89" s="78" t="s">
        <v>192</v>
      </c>
      <c r="K89" s="26"/>
      <c r="L89" s="20" t="s">
        <v>8</v>
      </c>
      <c r="M89" s="26"/>
      <c r="N89" s="20" t="s">
        <v>9</v>
      </c>
      <c r="O89" s="27"/>
      <c r="P89" s="28" t="s">
        <v>10</v>
      </c>
      <c r="Q89" s="4"/>
      <c r="R89" s="29" t="s">
        <v>11</v>
      </c>
      <c r="S89" s="30"/>
    </row>
    <row r="90" spans="1:19" s="92" customFormat="1" ht="13.5" thickBot="1">
      <c r="A90" s="84"/>
      <c r="B90" s="85"/>
      <c r="C90" s="86" t="s">
        <v>195</v>
      </c>
      <c r="D90" s="87" t="s">
        <v>12</v>
      </c>
      <c r="E90" s="88" t="s">
        <v>13</v>
      </c>
      <c r="F90" s="88" t="s">
        <v>14</v>
      </c>
      <c r="G90" s="87" t="s">
        <v>15</v>
      </c>
      <c r="H90" s="88" t="s">
        <v>13</v>
      </c>
      <c r="I90" s="88" t="s">
        <v>14</v>
      </c>
      <c r="J90" s="88" t="s">
        <v>13</v>
      </c>
      <c r="K90" s="88" t="s">
        <v>14</v>
      </c>
      <c r="L90" s="88" t="s">
        <v>13</v>
      </c>
      <c r="M90" s="88" t="s">
        <v>14</v>
      </c>
      <c r="N90" s="88" t="s">
        <v>13</v>
      </c>
      <c r="O90" s="89" t="s">
        <v>14</v>
      </c>
      <c r="P90" s="88" t="s">
        <v>13</v>
      </c>
      <c r="Q90" s="90" t="s">
        <v>14</v>
      </c>
      <c r="R90" s="88" t="s">
        <v>13</v>
      </c>
      <c r="S90" s="91" t="s">
        <v>14</v>
      </c>
    </row>
    <row r="91" spans="1:19" ht="13.5" thickTop="1">
      <c r="A91" s="47">
        <v>66</v>
      </c>
      <c r="B91" s="74" t="s">
        <v>82</v>
      </c>
      <c r="C91" s="76">
        <v>45.746785361028685</v>
      </c>
      <c r="D91" s="38">
        <v>118</v>
      </c>
      <c r="E91" s="39">
        <v>15</v>
      </c>
      <c r="F91" s="42">
        <f aca="true" t="shared" si="18" ref="F91:F162">+(E91/$D91)*100</f>
        <v>12.711864406779661</v>
      </c>
      <c r="G91" s="40">
        <f>13+2</f>
        <v>15</v>
      </c>
      <c r="H91" s="41">
        <v>1</v>
      </c>
      <c r="I91" s="42">
        <f t="shared" si="12"/>
        <v>6.666666666666667</v>
      </c>
      <c r="J91" s="52">
        <v>0</v>
      </c>
      <c r="K91" s="42">
        <f t="shared" si="13"/>
        <v>0</v>
      </c>
      <c r="L91" s="62">
        <v>0</v>
      </c>
      <c r="M91" s="42">
        <f t="shared" si="14"/>
        <v>0</v>
      </c>
      <c r="N91" s="41">
        <v>0</v>
      </c>
      <c r="O91" s="43">
        <f t="shared" si="15"/>
        <v>0</v>
      </c>
      <c r="P91" s="44">
        <f aca="true" t="shared" si="19" ref="P91:P123">SUM(H91)+J91+L91+N91</f>
        <v>1</v>
      </c>
      <c r="Q91" s="42">
        <f t="shared" si="16"/>
        <v>6.666666666666667</v>
      </c>
      <c r="R91" s="93">
        <f aca="true" t="shared" si="20" ref="R91:R123">+L91+N91</f>
        <v>0</v>
      </c>
      <c r="S91" s="45">
        <f t="shared" si="17"/>
        <v>0</v>
      </c>
    </row>
    <row r="92" spans="1:19" ht="12.75">
      <c r="A92" s="47">
        <v>67</v>
      </c>
      <c r="B92" s="74" t="s">
        <v>83</v>
      </c>
      <c r="C92" s="76">
        <v>19.228295819935692</v>
      </c>
      <c r="D92" s="38">
        <v>298</v>
      </c>
      <c r="E92" s="39">
        <f>18+12</f>
        <v>30</v>
      </c>
      <c r="F92" s="42">
        <f t="shared" si="18"/>
        <v>10.06711409395973</v>
      </c>
      <c r="G92" s="40">
        <f>18+14</f>
        <v>32</v>
      </c>
      <c r="H92" s="41">
        <v>2</v>
      </c>
      <c r="I92" s="42">
        <f t="shared" si="12"/>
        <v>6.25</v>
      </c>
      <c r="J92" s="41">
        <v>0</v>
      </c>
      <c r="K92" s="42">
        <f t="shared" si="13"/>
        <v>0</v>
      </c>
      <c r="L92" s="62">
        <v>0</v>
      </c>
      <c r="M92" s="42">
        <f t="shared" si="14"/>
        <v>0</v>
      </c>
      <c r="N92" s="41">
        <v>0</v>
      </c>
      <c r="O92" s="43">
        <f t="shared" si="15"/>
        <v>0</v>
      </c>
      <c r="P92" s="44">
        <f t="shared" si="19"/>
        <v>2</v>
      </c>
      <c r="Q92" s="42">
        <f t="shared" si="16"/>
        <v>6.25</v>
      </c>
      <c r="R92" s="93">
        <f t="shared" si="20"/>
        <v>0</v>
      </c>
      <c r="S92" s="45">
        <f t="shared" si="17"/>
        <v>0</v>
      </c>
    </row>
    <row r="93" spans="1:19" ht="12.75">
      <c r="A93" s="47">
        <v>68</v>
      </c>
      <c r="B93" s="74" t="s">
        <v>84</v>
      </c>
      <c r="C93" s="76">
        <v>48.66712235133288</v>
      </c>
      <c r="D93" s="38">
        <v>75</v>
      </c>
      <c r="E93" s="39">
        <v>12</v>
      </c>
      <c r="F93" s="42">
        <f t="shared" si="18"/>
        <v>16</v>
      </c>
      <c r="G93" s="40">
        <v>12</v>
      </c>
      <c r="H93" s="41">
        <v>0</v>
      </c>
      <c r="I93" s="42">
        <f t="shared" si="12"/>
        <v>0</v>
      </c>
      <c r="J93" s="65">
        <v>0</v>
      </c>
      <c r="K93" s="42">
        <f t="shared" si="13"/>
        <v>0</v>
      </c>
      <c r="L93" s="62">
        <v>0</v>
      </c>
      <c r="M93" s="42">
        <f t="shared" si="14"/>
        <v>0</v>
      </c>
      <c r="N93" s="41">
        <v>0</v>
      </c>
      <c r="O93" s="43">
        <f t="shared" si="15"/>
        <v>0</v>
      </c>
      <c r="P93" s="44">
        <f t="shared" si="19"/>
        <v>0</v>
      </c>
      <c r="Q93" s="42">
        <f t="shared" si="16"/>
        <v>0</v>
      </c>
      <c r="R93" s="93">
        <f t="shared" si="20"/>
        <v>0</v>
      </c>
      <c r="S93" s="45">
        <f t="shared" si="17"/>
        <v>0</v>
      </c>
    </row>
    <row r="94" spans="1:19" ht="12.75">
      <c r="A94" s="47">
        <v>69</v>
      </c>
      <c r="B94" s="74" t="s">
        <v>85</v>
      </c>
      <c r="C94" s="76">
        <v>51.48357215226517</v>
      </c>
      <c r="D94" s="38">
        <v>402</v>
      </c>
      <c r="E94" s="39">
        <f>107+101</f>
        <v>208</v>
      </c>
      <c r="F94" s="42">
        <f t="shared" si="18"/>
        <v>51.741293532338304</v>
      </c>
      <c r="G94" s="40">
        <f>108+95</f>
        <v>203</v>
      </c>
      <c r="H94" s="41">
        <v>4</v>
      </c>
      <c r="I94" s="42">
        <f t="shared" si="12"/>
        <v>1.9704433497536946</v>
      </c>
      <c r="J94" s="41">
        <v>0</v>
      </c>
      <c r="K94" s="42">
        <f t="shared" si="13"/>
        <v>0</v>
      </c>
      <c r="L94" s="62">
        <v>1</v>
      </c>
      <c r="M94" s="42">
        <f t="shared" si="14"/>
        <v>0.49261083743842365</v>
      </c>
      <c r="N94" s="41">
        <v>0</v>
      </c>
      <c r="O94" s="43">
        <f t="shared" si="15"/>
        <v>0</v>
      </c>
      <c r="P94" s="44">
        <f t="shared" si="19"/>
        <v>5</v>
      </c>
      <c r="Q94" s="42">
        <f t="shared" si="16"/>
        <v>2.4630541871921183</v>
      </c>
      <c r="R94" s="93">
        <f t="shared" si="20"/>
        <v>1</v>
      </c>
      <c r="S94" s="45">
        <f t="shared" si="17"/>
        <v>0.49261083743842365</v>
      </c>
    </row>
    <row r="95" spans="1:19" ht="12.75">
      <c r="A95" s="47">
        <v>70</v>
      </c>
      <c r="B95" s="74" t="s">
        <v>86</v>
      </c>
      <c r="C95" s="76">
        <v>14.410862899693386</v>
      </c>
      <c r="D95" s="38">
        <v>204</v>
      </c>
      <c r="E95" s="39">
        <f>23+32</f>
        <v>55</v>
      </c>
      <c r="F95" s="42">
        <f t="shared" si="18"/>
        <v>26.96078431372549</v>
      </c>
      <c r="G95" s="40">
        <f>23+32</f>
        <v>55</v>
      </c>
      <c r="H95" s="41">
        <v>0</v>
      </c>
      <c r="I95" s="42">
        <f t="shared" si="12"/>
        <v>0</v>
      </c>
      <c r="J95" s="41">
        <v>0</v>
      </c>
      <c r="K95" s="42">
        <f t="shared" si="13"/>
        <v>0</v>
      </c>
      <c r="L95" s="62">
        <v>0</v>
      </c>
      <c r="M95" s="42">
        <f t="shared" si="14"/>
        <v>0</v>
      </c>
      <c r="N95" s="41">
        <v>0</v>
      </c>
      <c r="O95" s="43">
        <f t="shared" si="15"/>
        <v>0</v>
      </c>
      <c r="P95" s="44">
        <f t="shared" si="19"/>
        <v>0</v>
      </c>
      <c r="Q95" s="42">
        <f t="shared" si="16"/>
        <v>0</v>
      </c>
      <c r="R95" s="93">
        <f t="shared" si="20"/>
        <v>0</v>
      </c>
      <c r="S95" s="45">
        <f t="shared" si="17"/>
        <v>0</v>
      </c>
    </row>
    <row r="96" spans="1:19" ht="12.75">
      <c r="A96" s="47">
        <v>71</v>
      </c>
      <c r="B96" s="74" t="s">
        <v>87</v>
      </c>
      <c r="C96" s="76">
        <v>28.865248226950353</v>
      </c>
      <c r="D96" s="38">
        <v>166</v>
      </c>
      <c r="E96" s="39">
        <f>29+14</f>
        <v>43</v>
      </c>
      <c r="F96" s="42">
        <f t="shared" si="18"/>
        <v>25.903614457831324</v>
      </c>
      <c r="G96" s="40">
        <f>29+13</f>
        <v>42</v>
      </c>
      <c r="H96" s="41">
        <v>0</v>
      </c>
      <c r="I96" s="42">
        <f t="shared" si="12"/>
        <v>0</v>
      </c>
      <c r="J96" s="41">
        <v>0</v>
      </c>
      <c r="K96" s="42">
        <f t="shared" si="13"/>
        <v>0</v>
      </c>
      <c r="L96" s="62">
        <v>0</v>
      </c>
      <c r="M96" s="42">
        <f t="shared" si="14"/>
        <v>0</v>
      </c>
      <c r="N96" s="41">
        <v>0</v>
      </c>
      <c r="O96" s="43">
        <f t="shared" si="15"/>
        <v>0</v>
      </c>
      <c r="P96" s="44">
        <f t="shared" si="19"/>
        <v>0</v>
      </c>
      <c r="Q96" s="42">
        <f t="shared" si="16"/>
        <v>0</v>
      </c>
      <c r="R96" s="93">
        <f t="shared" si="20"/>
        <v>0</v>
      </c>
      <c r="S96" s="45">
        <f t="shared" si="17"/>
        <v>0</v>
      </c>
    </row>
    <row r="97" spans="1:19" ht="12.75">
      <c r="A97" s="47">
        <v>72</v>
      </c>
      <c r="B97" s="74" t="s">
        <v>88</v>
      </c>
      <c r="C97" s="76">
        <v>23.855553529089914</v>
      </c>
      <c r="D97" s="38">
        <v>370</v>
      </c>
      <c r="E97" s="39">
        <v>86</v>
      </c>
      <c r="F97" s="42">
        <f t="shared" si="18"/>
        <v>23.243243243243246</v>
      </c>
      <c r="G97" s="40">
        <v>87</v>
      </c>
      <c r="H97" s="41">
        <v>2</v>
      </c>
      <c r="I97" s="42">
        <f t="shared" si="12"/>
        <v>2.2988505747126435</v>
      </c>
      <c r="J97" s="41">
        <v>0</v>
      </c>
      <c r="K97" s="42">
        <f t="shared" si="13"/>
        <v>0</v>
      </c>
      <c r="L97" s="62">
        <v>0</v>
      </c>
      <c r="M97" s="42">
        <f t="shared" si="14"/>
        <v>0</v>
      </c>
      <c r="N97" s="41">
        <v>0</v>
      </c>
      <c r="O97" s="43">
        <f t="shared" si="15"/>
        <v>0</v>
      </c>
      <c r="P97" s="44">
        <f t="shared" si="19"/>
        <v>2</v>
      </c>
      <c r="Q97" s="42">
        <f t="shared" si="16"/>
        <v>2.2988505747126435</v>
      </c>
      <c r="R97" s="93">
        <f t="shared" si="20"/>
        <v>0</v>
      </c>
      <c r="S97" s="45">
        <f t="shared" si="17"/>
        <v>0</v>
      </c>
    </row>
    <row r="98" spans="1:19" ht="12.75">
      <c r="A98" s="47">
        <v>73</v>
      </c>
      <c r="B98" s="74" t="s">
        <v>89</v>
      </c>
      <c r="C98" s="76">
        <v>35.82853486884197</v>
      </c>
      <c r="D98" s="38">
        <v>109</v>
      </c>
      <c r="E98" s="39">
        <v>27</v>
      </c>
      <c r="F98" s="42">
        <f t="shared" si="18"/>
        <v>24.770642201834864</v>
      </c>
      <c r="G98" s="40">
        <v>27</v>
      </c>
      <c r="H98" s="41">
        <v>0</v>
      </c>
      <c r="I98" s="42">
        <f t="shared" si="12"/>
        <v>0</v>
      </c>
      <c r="J98" s="41">
        <v>0</v>
      </c>
      <c r="K98" s="42">
        <f t="shared" si="13"/>
        <v>0</v>
      </c>
      <c r="L98" s="62">
        <v>0</v>
      </c>
      <c r="M98" s="42">
        <f t="shared" si="14"/>
        <v>0</v>
      </c>
      <c r="N98" s="41">
        <v>0</v>
      </c>
      <c r="O98" s="43">
        <f t="shared" si="15"/>
        <v>0</v>
      </c>
      <c r="P98" s="44">
        <f t="shared" si="19"/>
        <v>0</v>
      </c>
      <c r="Q98" s="42">
        <f t="shared" si="16"/>
        <v>0</v>
      </c>
      <c r="R98" s="93">
        <f t="shared" si="20"/>
        <v>0</v>
      </c>
      <c r="S98" s="45">
        <f t="shared" si="17"/>
        <v>0</v>
      </c>
    </row>
    <row r="99" spans="1:19" ht="12.75">
      <c r="A99" s="47">
        <v>74</v>
      </c>
      <c r="B99" s="74" t="s">
        <v>90</v>
      </c>
      <c r="C99" s="76">
        <v>49.29732708735189</v>
      </c>
      <c r="D99" s="38">
        <v>153</v>
      </c>
      <c r="E99" s="39">
        <v>22</v>
      </c>
      <c r="F99" s="42">
        <f t="shared" si="18"/>
        <v>14.37908496732026</v>
      </c>
      <c r="G99" s="40">
        <v>22</v>
      </c>
      <c r="H99" s="41">
        <v>0</v>
      </c>
      <c r="I99" s="42">
        <f t="shared" si="12"/>
        <v>0</v>
      </c>
      <c r="J99" s="41">
        <v>0</v>
      </c>
      <c r="K99" s="42">
        <f t="shared" si="13"/>
        <v>0</v>
      </c>
      <c r="L99" s="62">
        <v>0</v>
      </c>
      <c r="M99" s="42">
        <f t="shared" si="14"/>
        <v>0</v>
      </c>
      <c r="N99" s="41">
        <v>0</v>
      </c>
      <c r="O99" s="43">
        <f t="shared" si="15"/>
        <v>0</v>
      </c>
      <c r="P99" s="44">
        <f t="shared" si="19"/>
        <v>0</v>
      </c>
      <c r="Q99" s="42">
        <f t="shared" si="16"/>
        <v>0</v>
      </c>
      <c r="R99" s="93">
        <f t="shared" si="20"/>
        <v>0</v>
      </c>
      <c r="S99" s="45">
        <f t="shared" si="17"/>
        <v>0</v>
      </c>
    </row>
    <row r="100" spans="1:19" ht="12.75">
      <c r="A100" s="47">
        <v>75</v>
      </c>
      <c r="B100" s="74" t="s">
        <v>91</v>
      </c>
      <c r="C100" s="76">
        <v>52.17391304347826</v>
      </c>
      <c r="D100" s="38">
        <v>30</v>
      </c>
      <c r="E100" s="39">
        <v>29</v>
      </c>
      <c r="F100" s="42">
        <f t="shared" si="18"/>
        <v>96.66666666666667</v>
      </c>
      <c r="G100" s="40">
        <v>27</v>
      </c>
      <c r="H100" s="41">
        <v>0</v>
      </c>
      <c r="I100" s="42">
        <f t="shared" si="12"/>
        <v>0</v>
      </c>
      <c r="J100" s="41">
        <v>0</v>
      </c>
      <c r="K100" s="42">
        <f t="shared" si="13"/>
        <v>0</v>
      </c>
      <c r="L100" s="62">
        <v>0</v>
      </c>
      <c r="M100" s="42">
        <f t="shared" si="14"/>
        <v>0</v>
      </c>
      <c r="N100" s="41">
        <v>0</v>
      </c>
      <c r="O100" s="43">
        <f t="shared" si="15"/>
        <v>0</v>
      </c>
      <c r="P100" s="44">
        <f t="shared" si="19"/>
        <v>0</v>
      </c>
      <c r="Q100" s="42">
        <f t="shared" si="16"/>
        <v>0</v>
      </c>
      <c r="R100" s="93">
        <f t="shared" si="20"/>
        <v>0</v>
      </c>
      <c r="S100" s="45">
        <f t="shared" si="17"/>
        <v>0</v>
      </c>
    </row>
    <row r="101" spans="1:19" ht="12.75">
      <c r="A101" s="47">
        <v>76</v>
      </c>
      <c r="B101" s="74" t="s">
        <v>92</v>
      </c>
      <c r="C101" s="76">
        <v>27.83644733279177</v>
      </c>
      <c r="D101" s="38">
        <v>454</v>
      </c>
      <c r="E101" s="39">
        <f>67+64</f>
        <v>131</v>
      </c>
      <c r="F101" s="42">
        <f t="shared" si="18"/>
        <v>28.854625550660796</v>
      </c>
      <c r="G101" s="40">
        <f>68+64</f>
        <v>132</v>
      </c>
      <c r="H101" s="41">
        <v>0</v>
      </c>
      <c r="I101" s="42">
        <f t="shared" si="12"/>
        <v>0</v>
      </c>
      <c r="J101" s="41">
        <v>1</v>
      </c>
      <c r="K101" s="42">
        <f t="shared" si="13"/>
        <v>0.7575757575757576</v>
      </c>
      <c r="L101" s="62">
        <v>0</v>
      </c>
      <c r="M101" s="42">
        <f t="shared" si="14"/>
        <v>0</v>
      </c>
      <c r="N101" s="41">
        <v>0</v>
      </c>
      <c r="O101" s="43">
        <f t="shared" si="15"/>
        <v>0</v>
      </c>
      <c r="P101" s="44">
        <f t="shared" si="19"/>
        <v>1</v>
      </c>
      <c r="Q101" s="42">
        <f t="shared" si="16"/>
        <v>0.7575757575757576</v>
      </c>
      <c r="R101" s="93">
        <f t="shared" si="20"/>
        <v>0</v>
      </c>
      <c r="S101" s="45">
        <f t="shared" si="17"/>
        <v>0</v>
      </c>
    </row>
    <row r="102" spans="1:19" ht="12.75">
      <c r="A102" s="47">
        <v>77</v>
      </c>
      <c r="B102" s="74" t="s">
        <v>93</v>
      </c>
      <c r="C102" s="76">
        <v>52.73334432717678</v>
      </c>
      <c r="D102" s="38">
        <v>1357</v>
      </c>
      <c r="E102" s="39">
        <f>162+111</f>
        <v>273</v>
      </c>
      <c r="F102" s="42">
        <f t="shared" si="18"/>
        <v>20.117907148120857</v>
      </c>
      <c r="G102" s="40">
        <f>161+117</f>
        <v>278</v>
      </c>
      <c r="H102" s="41">
        <v>6</v>
      </c>
      <c r="I102" s="42">
        <f t="shared" si="12"/>
        <v>2.158273381294964</v>
      </c>
      <c r="J102" s="41">
        <v>1</v>
      </c>
      <c r="K102" s="42">
        <f t="shared" si="13"/>
        <v>0.3597122302158274</v>
      </c>
      <c r="L102" s="62">
        <v>2</v>
      </c>
      <c r="M102" s="42">
        <f t="shared" si="14"/>
        <v>0.7194244604316548</v>
      </c>
      <c r="N102" s="41">
        <v>0</v>
      </c>
      <c r="O102" s="43">
        <f t="shared" si="15"/>
        <v>0</v>
      </c>
      <c r="P102" s="44">
        <f t="shared" si="19"/>
        <v>9</v>
      </c>
      <c r="Q102" s="42">
        <f t="shared" si="16"/>
        <v>3.237410071942446</v>
      </c>
      <c r="R102" s="93">
        <f t="shared" si="20"/>
        <v>2</v>
      </c>
      <c r="S102" s="45">
        <f t="shared" si="17"/>
        <v>0.7194244604316548</v>
      </c>
    </row>
    <row r="103" spans="1:19" ht="12.75">
      <c r="A103" s="47">
        <v>78</v>
      </c>
      <c r="B103" s="74" t="s">
        <v>94</v>
      </c>
      <c r="C103" s="76">
        <v>34.92063492063492</v>
      </c>
      <c r="D103" s="38">
        <v>226</v>
      </c>
      <c r="E103" s="39">
        <f>19+19</f>
        <v>38</v>
      </c>
      <c r="F103" s="42">
        <f t="shared" si="18"/>
        <v>16.8141592920354</v>
      </c>
      <c r="G103" s="40">
        <f>19+16</f>
        <v>35</v>
      </c>
      <c r="H103" s="41">
        <v>0</v>
      </c>
      <c r="I103" s="42">
        <f t="shared" si="12"/>
        <v>0</v>
      </c>
      <c r="J103" s="41">
        <v>1</v>
      </c>
      <c r="K103" s="42">
        <f t="shared" si="13"/>
        <v>2.857142857142857</v>
      </c>
      <c r="L103" s="62">
        <v>0</v>
      </c>
      <c r="M103" s="42">
        <f t="shared" si="14"/>
        <v>0</v>
      </c>
      <c r="N103" s="41">
        <v>0</v>
      </c>
      <c r="O103" s="43">
        <f t="shared" si="15"/>
        <v>0</v>
      </c>
      <c r="P103" s="44">
        <f t="shared" si="19"/>
        <v>1</v>
      </c>
      <c r="Q103" s="42">
        <f t="shared" si="16"/>
        <v>2.857142857142857</v>
      </c>
      <c r="R103" s="93">
        <f t="shared" si="20"/>
        <v>0</v>
      </c>
      <c r="S103" s="45">
        <f t="shared" si="17"/>
        <v>0</v>
      </c>
    </row>
    <row r="104" spans="1:19" ht="12.75">
      <c r="A104" s="47">
        <v>79</v>
      </c>
      <c r="B104" s="74" t="s">
        <v>95</v>
      </c>
      <c r="C104" s="76">
        <v>25.036460865337872</v>
      </c>
      <c r="D104" s="38">
        <v>143</v>
      </c>
      <c r="E104" s="39">
        <v>13</v>
      </c>
      <c r="F104" s="42">
        <f t="shared" si="18"/>
        <v>9.090909090909092</v>
      </c>
      <c r="G104" s="40">
        <v>13</v>
      </c>
      <c r="H104" s="41">
        <v>1</v>
      </c>
      <c r="I104" s="42">
        <f t="shared" si="12"/>
        <v>7.6923076923076925</v>
      </c>
      <c r="J104" s="41">
        <v>0</v>
      </c>
      <c r="K104" s="42">
        <f t="shared" si="13"/>
        <v>0</v>
      </c>
      <c r="L104" s="62">
        <v>0</v>
      </c>
      <c r="M104" s="42">
        <f t="shared" si="14"/>
        <v>0</v>
      </c>
      <c r="N104" s="41">
        <v>0</v>
      </c>
      <c r="O104" s="43">
        <f t="shared" si="15"/>
        <v>0</v>
      </c>
      <c r="P104" s="44">
        <f t="shared" si="19"/>
        <v>1</v>
      </c>
      <c r="Q104" s="42">
        <f t="shared" si="16"/>
        <v>7.6923076923076925</v>
      </c>
      <c r="R104" s="93">
        <f t="shared" si="20"/>
        <v>0</v>
      </c>
      <c r="S104" s="45">
        <f t="shared" si="17"/>
        <v>0</v>
      </c>
    </row>
    <row r="105" spans="1:19" ht="12.75">
      <c r="A105" s="47">
        <v>80</v>
      </c>
      <c r="B105" s="74" t="s">
        <v>96</v>
      </c>
      <c r="C105" s="76">
        <v>52.746538914376195</v>
      </c>
      <c r="D105" s="38">
        <v>1685</v>
      </c>
      <c r="E105" s="39">
        <f>564+417</f>
        <v>981</v>
      </c>
      <c r="F105" s="42">
        <f t="shared" si="18"/>
        <v>58.21958456973294</v>
      </c>
      <c r="G105" s="40">
        <f>569+422</f>
        <v>991</v>
      </c>
      <c r="H105" s="41">
        <f>16+16</f>
        <v>32</v>
      </c>
      <c r="I105" s="42">
        <f t="shared" si="12"/>
        <v>3.229061553985873</v>
      </c>
      <c r="J105" s="41">
        <v>9</v>
      </c>
      <c r="K105" s="42">
        <f t="shared" si="13"/>
        <v>0.9081735620585267</v>
      </c>
      <c r="L105" s="62">
        <v>4</v>
      </c>
      <c r="M105" s="42">
        <f t="shared" si="14"/>
        <v>0.4036326942482341</v>
      </c>
      <c r="N105" s="41">
        <v>1</v>
      </c>
      <c r="O105" s="43">
        <f t="shared" si="15"/>
        <v>0.10090817356205853</v>
      </c>
      <c r="P105" s="44">
        <f t="shared" si="19"/>
        <v>46</v>
      </c>
      <c r="Q105" s="42">
        <f t="shared" si="16"/>
        <v>4.641775983854692</v>
      </c>
      <c r="R105" s="93">
        <f t="shared" si="20"/>
        <v>5</v>
      </c>
      <c r="S105" s="45">
        <f t="shared" si="17"/>
        <v>0.5045408678102926</v>
      </c>
    </row>
    <row r="106" spans="1:19" ht="12.75">
      <c r="A106" s="47">
        <v>81</v>
      </c>
      <c r="B106" s="74" t="s">
        <v>97</v>
      </c>
      <c r="C106" s="76">
        <v>49.38759383642829</v>
      </c>
      <c r="D106" s="38">
        <v>141</v>
      </c>
      <c r="E106" s="39">
        <f>41+15</f>
        <v>56</v>
      </c>
      <c r="F106" s="42">
        <f t="shared" si="18"/>
        <v>39.71631205673759</v>
      </c>
      <c r="G106" s="40">
        <f>41+16</f>
        <v>57</v>
      </c>
      <c r="H106" s="41">
        <v>3</v>
      </c>
      <c r="I106" s="42">
        <f t="shared" si="12"/>
        <v>5.263157894736842</v>
      </c>
      <c r="J106" s="41">
        <v>0</v>
      </c>
      <c r="K106" s="42">
        <f t="shared" si="13"/>
        <v>0</v>
      </c>
      <c r="L106" s="62">
        <v>0</v>
      </c>
      <c r="M106" s="42">
        <f t="shared" si="14"/>
        <v>0</v>
      </c>
      <c r="N106" s="41">
        <v>0</v>
      </c>
      <c r="O106" s="43">
        <f t="shared" si="15"/>
        <v>0</v>
      </c>
      <c r="P106" s="44">
        <f t="shared" si="19"/>
        <v>3</v>
      </c>
      <c r="Q106" s="42">
        <f t="shared" si="16"/>
        <v>5.263157894736842</v>
      </c>
      <c r="R106" s="93">
        <f t="shared" si="20"/>
        <v>0</v>
      </c>
      <c r="S106" s="45">
        <f t="shared" si="17"/>
        <v>0</v>
      </c>
    </row>
    <row r="107" spans="1:19" ht="12.75">
      <c r="A107" s="47">
        <v>82</v>
      </c>
      <c r="B107" s="74" t="s">
        <v>98</v>
      </c>
      <c r="C107" s="76">
        <v>50</v>
      </c>
      <c r="D107" s="38">
        <v>87</v>
      </c>
      <c r="E107" s="39">
        <f>10+18</f>
        <v>28</v>
      </c>
      <c r="F107" s="42">
        <f t="shared" si="18"/>
        <v>32.18390804597701</v>
      </c>
      <c r="G107" s="40">
        <v>27</v>
      </c>
      <c r="H107" s="41">
        <v>0</v>
      </c>
      <c r="I107" s="42">
        <f t="shared" si="12"/>
        <v>0</v>
      </c>
      <c r="J107" s="41">
        <v>1</v>
      </c>
      <c r="K107" s="42">
        <f t="shared" si="13"/>
        <v>3.7037037037037033</v>
      </c>
      <c r="L107" s="62">
        <v>0</v>
      </c>
      <c r="M107" s="42">
        <f t="shared" si="14"/>
        <v>0</v>
      </c>
      <c r="N107" s="41">
        <v>0</v>
      </c>
      <c r="O107" s="43">
        <f t="shared" si="15"/>
        <v>0</v>
      </c>
      <c r="P107" s="44">
        <f t="shared" si="19"/>
        <v>1</v>
      </c>
      <c r="Q107" s="42">
        <f t="shared" si="16"/>
        <v>3.7037037037037033</v>
      </c>
      <c r="R107" s="93">
        <f t="shared" si="20"/>
        <v>0</v>
      </c>
      <c r="S107" s="45">
        <f t="shared" si="17"/>
        <v>0</v>
      </c>
    </row>
    <row r="108" spans="1:19" ht="12.75">
      <c r="A108" s="47">
        <v>83</v>
      </c>
      <c r="B108" s="74" t="s">
        <v>99</v>
      </c>
      <c r="C108" s="76">
        <v>39.813169518200745</v>
      </c>
      <c r="D108" s="38">
        <v>1123</v>
      </c>
      <c r="E108" s="39">
        <f>127+252</f>
        <v>379</v>
      </c>
      <c r="F108" s="42">
        <f t="shared" si="18"/>
        <v>33.74888691006233</v>
      </c>
      <c r="G108" s="40">
        <f>141+251</f>
        <v>392</v>
      </c>
      <c r="H108" s="41">
        <v>2</v>
      </c>
      <c r="I108" s="42">
        <f t="shared" si="12"/>
        <v>0.5102040816326531</v>
      </c>
      <c r="J108" s="52">
        <v>0</v>
      </c>
      <c r="K108" s="42">
        <f t="shared" si="13"/>
        <v>0</v>
      </c>
      <c r="L108" s="62">
        <v>0</v>
      </c>
      <c r="M108" s="42">
        <f t="shared" si="14"/>
        <v>0</v>
      </c>
      <c r="N108" s="41">
        <v>0</v>
      </c>
      <c r="O108" s="43">
        <f t="shared" si="15"/>
        <v>0</v>
      </c>
      <c r="P108" s="44">
        <f t="shared" si="19"/>
        <v>2</v>
      </c>
      <c r="Q108" s="42">
        <f t="shared" si="16"/>
        <v>0.5102040816326531</v>
      </c>
      <c r="R108" s="93">
        <f t="shared" si="20"/>
        <v>0</v>
      </c>
      <c r="S108" s="45">
        <f t="shared" si="17"/>
        <v>0</v>
      </c>
    </row>
    <row r="109" spans="1:19" ht="12.75">
      <c r="A109" s="47">
        <v>84</v>
      </c>
      <c r="B109" s="74" t="s">
        <v>100</v>
      </c>
      <c r="C109" s="76">
        <v>51.666514889354346</v>
      </c>
      <c r="D109" s="38">
        <v>1203</v>
      </c>
      <c r="E109" s="39">
        <f>339+196</f>
        <v>535</v>
      </c>
      <c r="F109" s="42">
        <f t="shared" si="18"/>
        <v>44.472152950955945</v>
      </c>
      <c r="G109" s="40">
        <f>337+197</f>
        <v>534</v>
      </c>
      <c r="H109" s="41">
        <v>1</v>
      </c>
      <c r="I109" s="42">
        <f t="shared" si="12"/>
        <v>0.18726591760299627</v>
      </c>
      <c r="J109" s="41">
        <v>1</v>
      </c>
      <c r="K109" s="42">
        <f t="shared" si="13"/>
        <v>0.18726591760299627</v>
      </c>
      <c r="L109" s="62">
        <v>0</v>
      </c>
      <c r="M109" s="42">
        <f t="shared" si="14"/>
        <v>0</v>
      </c>
      <c r="N109" s="41">
        <v>0</v>
      </c>
      <c r="O109" s="43">
        <f t="shared" si="15"/>
        <v>0</v>
      </c>
      <c r="P109" s="44">
        <f t="shared" si="19"/>
        <v>2</v>
      </c>
      <c r="Q109" s="42">
        <f t="shared" si="16"/>
        <v>0.37453183520599254</v>
      </c>
      <c r="R109" s="93">
        <f t="shared" si="20"/>
        <v>0</v>
      </c>
      <c r="S109" s="45">
        <f t="shared" si="17"/>
        <v>0</v>
      </c>
    </row>
    <row r="110" spans="1:19" ht="12.75">
      <c r="A110" s="47">
        <v>85</v>
      </c>
      <c r="B110" s="74" t="s">
        <v>101</v>
      </c>
      <c r="C110" s="76">
        <v>27.1474019088017</v>
      </c>
      <c r="D110" s="38">
        <v>545</v>
      </c>
      <c r="E110" s="39">
        <f>170+133</f>
        <v>303</v>
      </c>
      <c r="F110" s="42">
        <f t="shared" si="18"/>
        <v>55.596330275229356</v>
      </c>
      <c r="G110" s="40">
        <f>165+136</f>
        <v>301</v>
      </c>
      <c r="H110" s="41">
        <v>1</v>
      </c>
      <c r="I110" s="42">
        <f t="shared" si="12"/>
        <v>0.33222591362126247</v>
      </c>
      <c r="J110" s="66">
        <v>0</v>
      </c>
      <c r="K110" s="42">
        <f t="shared" si="13"/>
        <v>0</v>
      </c>
      <c r="L110" s="62">
        <v>0</v>
      </c>
      <c r="M110" s="42">
        <f t="shared" si="14"/>
        <v>0</v>
      </c>
      <c r="N110" s="41">
        <v>0</v>
      </c>
      <c r="O110" s="43">
        <f t="shared" si="15"/>
        <v>0</v>
      </c>
      <c r="P110" s="44">
        <f t="shared" si="19"/>
        <v>1</v>
      </c>
      <c r="Q110" s="42">
        <f t="shared" si="16"/>
        <v>0.33222591362126247</v>
      </c>
      <c r="R110" s="93">
        <f t="shared" si="20"/>
        <v>0</v>
      </c>
      <c r="S110" s="45">
        <f t="shared" si="17"/>
        <v>0</v>
      </c>
    </row>
    <row r="111" spans="1:19" ht="12.75">
      <c r="A111" s="47">
        <v>86</v>
      </c>
      <c r="B111" s="74" t="s">
        <v>102</v>
      </c>
      <c r="C111" s="76">
        <v>30.46289493019838</v>
      </c>
      <c r="D111" s="38">
        <v>395</v>
      </c>
      <c r="E111" s="39">
        <f>122+54</f>
        <v>176</v>
      </c>
      <c r="F111" s="42">
        <f t="shared" si="18"/>
        <v>44.55696202531645</v>
      </c>
      <c r="G111" s="40">
        <f>126+57</f>
        <v>183</v>
      </c>
      <c r="H111" s="41">
        <v>0</v>
      </c>
      <c r="I111" s="42">
        <f t="shared" si="12"/>
        <v>0</v>
      </c>
      <c r="J111" s="41">
        <v>0</v>
      </c>
      <c r="K111" s="42">
        <f t="shared" si="13"/>
        <v>0</v>
      </c>
      <c r="L111" s="62">
        <v>0</v>
      </c>
      <c r="M111" s="42">
        <f t="shared" si="14"/>
        <v>0</v>
      </c>
      <c r="N111" s="41">
        <v>0</v>
      </c>
      <c r="O111" s="43">
        <f t="shared" si="15"/>
        <v>0</v>
      </c>
      <c r="P111" s="44">
        <f t="shared" si="19"/>
        <v>0</v>
      </c>
      <c r="Q111" s="42">
        <f t="shared" si="16"/>
        <v>0</v>
      </c>
      <c r="R111" s="93">
        <f t="shared" si="20"/>
        <v>0</v>
      </c>
      <c r="S111" s="45">
        <f t="shared" si="17"/>
        <v>0</v>
      </c>
    </row>
    <row r="112" spans="1:19" ht="12.75">
      <c r="A112" s="47">
        <v>87</v>
      </c>
      <c r="B112" s="74" t="s">
        <v>103</v>
      </c>
      <c r="C112" s="76">
        <v>50.12701100762066</v>
      </c>
      <c r="D112" s="38">
        <v>49</v>
      </c>
      <c r="E112" s="39">
        <v>7</v>
      </c>
      <c r="F112" s="42">
        <f t="shared" si="18"/>
        <v>14.285714285714285</v>
      </c>
      <c r="G112" s="40">
        <v>7</v>
      </c>
      <c r="H112" s="41">
        <v>0</v>
      </c>
      <c r="I112" s="42">
        <f t="shared" si="12"/>
        <v>0</v>
      </c>
      <c r="J112" s="41">
        <v>0</v>
      </c>
      <c r="K112" s="42">
        <f t="shared" si="13"/>
        <v>0</v>
      </c>
      <c r="L112" s="62">
        <v>0</v>
      </c>
      <c r="M112" s="42">
        <f t="shared" si="14"/>
        <v>0</v>
      </c>
      <c r="N112" s="41">
        <v>0</v>
      </c>
      <c r="O112" s="43">
        <f t="shared" si="15"/>
        <v>0</v>
      </c>
      <c r="P112" s="44">
        <f t="shared" si="19"/>
        <v>0</v>
      </c>
      <c r="Q112" s="42">
        <f t="shared" si="16"/>
        <v>0</v>
      </c>
      <c r="R112" s="93">
        <f t="shared" si="20"/>
        <v>0</v>
      </c>
      <c r="S112" s="45">
        <f t="shared" si="17"/>
        <v>0</v>
      </c>
    </row>
    <row r="113" spans="1:19" ht="12.75">
      <c r="A113" s="47">
        <v>88</v>
      </c>
      <c r="B113" s="74" t="s">
        <v>104</v>
      </c>
      <c r="C113" s="76">
        <v>45.52305323717689</v>
      </c>
      <c r="D113" s="38">
        <v>839</v>
      </c>
      <c r="E113" s="39">
        <f>166+76</f>
        <v>242</v>
      </c>
      <c r="F113" s="42">
        <f t="shared" si="18"/>
        <v>28.843861740166865</v>
      </c>
      <c r="G113" s="40">
        <f>163+75</f>
        <v>238</v>
      </c>
      <c r="H113" s="41">
        <v>4</v>
      </c>
      <c r="I113" s="42">
        <f t="shared" si="12"/>
        <v>1.680672268907563</v>
      </c>
      <c r="J113" s="41">
        <v>2</v>
      </c>
      <c r="K113" s="42">
        <f t="shared" si="13"/>
        <v>0.8403361344537815</v>
      </c>
      <c r="L113" s="62">
        <v>0</v>
      </c>
      <c r="M113" s="42">
        <f t="shared" si="14"/>
        <v>0</v>
      </c>
      <c r="N113" s="41">
        <v>0</v>
      </c>
      <c r="O113" s="43">
        <f t="shared" si="15"/>
        <v>0</v>
      </c>
      <c r="P113" s="44">
        <f t="shared" si="19"/>
        <v>6</v>
      </c>
      <c r="Q113" s="42">
        <f t="shared" si="16"/>
        <v>2.5210084033613445</v>
      </c>
      <c r="R113" s="93">
        <f t="shared" si="20"/>
        <v>0</v>
      </c>
      <c r="S113" s="45">
        <f t="shared" si="17"/>
        <v>0</v>
      </c>
    </row>
    <row r="114" spans="1:19" ht="12.75">
      <c r="A114" s="47">
        <v>89</v>
      </c>
      <c r="B114" s="74" t="s">
        <v>105</v>
      </c>
      <c r="C114" s="76">
        <v>66.62816069824156</v>
      </c>
      <c r="D114" s="38">
        <v>1921</v>
      </c>
      <c r="E114" s="39">
        <f>503+365</f>
        <v>868</v>
      </c>
      <c r="F114" s="42">
        <f t="shared" si="18"/>
        <v>45.18479958355023</v>
      </c>
      <c r="G114" s="40">
        <f>511+375</f>
        <v>886</v>
      </c>
      <c r="H114" s="41">
        <f>16+8</f>
        <v>24</v>
      </c>
      <c r="I114" s="42">
        <f t="shared" si="12"/>
        <v>2.708803611738149</v>
      </c>
      <c r="J114" s="41">
        <v>9</v>
      </c>
      <c r="K114" s="42">
        <f t="shared" si="13"/>
        <v>1.0158013544018059</v>
      </c>
      <c r="L114" s="62">
        <v>6</v>
      </c>
      <c r="M114" s="42">
        <f t="shared" si="14"/>
        <v>0.6772009029345373</v>
      </c>
      <c r="N114" s="41">
        <v>0</v>
      </c>
      <c r="O114" s="43">
        <f t="shared" si="15"/>
        <v>0</v>
      </c>
      <c r="P114" s="44">
        <f t="shared" si="19"/>
        <v>39</v>
      </c>
      <c r="Q114" s="42">
        <f t="shared" si="16"/>
        <v>4.401805869074492</v>
      </c>
      <c r="R114" s="93">
        <f t="shared" si="20"/>
        <v>6</v>
      </c>
      <c r="S114" s="45">
        <f t="shared" si="17"/>
        <v>0.6772009029345373</v>
      </c>
    </row>
    <row r="115" spans="1:19" ht="12.75">
      <c r="A115" s="47">
        <v>90</v>
      </c>
      <c r="B115" s="74" t="s">
        <v>106</v>
      </c>
      <c r="C115" s="76">
        <v>49.2087942865145</v>
      </c>
      <c r="D115" s="38">
        <v>557</v>
      </c>
      <c r="E115" s="39">
        <f>76+130</f>
        <v>206</v>
      </c>
      <c r="F115" s="42">
        <f t="shared" si="18"/>
        <v>36.983842010771994</v>
      </c>
      <c r="G115" s="40">
        <f>77+131</f>
        <v>208</v>
      </c>
      <c r="H115" s="41">
        <v>0</v>
      </c>
      <c r="I115" s="42">
        <f t="shared" si="12"/>
        <v>0</v>
      </c>
      <c r="J115" s="41">
        <v>0</v>
      </c>
      <c r="K115" s="42">
        <f t="shared" si="13"/>
        <v>0</v>
      </c>
      <c r="L115" s="62">
        <v>1</v>
      </c>
      <c r="M115" s="42">
        <f t="shared" si="14"/>
        <v>0.4807692307692308</v>
      </c>
      <c r="N115" s="41">
        <v>0</v>
      </c>
      <c r="O115" s="43">
        <f t="shared" si="15"/>
        <v>0</v>
      </c>
      <c r="P115" s="44">
        <f t="shared" si="19"/>
        <v>1</v>
      </c>
      <c r="Q115" s="42">
        <f t="shared" si="16"/>
        <v>0.4807692307692308</v>
      </c>
      <c r="R115" s="93">
        <f t="shared" si="20"/>
        <v>1</v>
      </c>
      <c r="S115" s="45">
        <f t="shared" si="17"/>
        <v>0.4807692307692308</v>
      </c>
    </row>
    <row r="116" spans="1:19" ht="12.75">
      <c r="A116" s="47">
        <v>91</v>
      </c>
      <c r="B116" s="74" t="s">
        <v>107</v>
      </c>
      <c r="C116" s="76">
        <v>32.73115773115773</v>
      </c>
      <c r="D116" s="38">
        <v>448</v>
      </c>
      <c r="E116" s="39">
        <f>53+76</f>
        <v>129</v>
      </c>
      <c r="F116" s="42">
        <f t="shared" si="18"/>
        <v>28.794642857142854</v>
      </c>
      <c r="G116" s="40">
        <f>51+77</f>
        <v>128</v>
      </c>
      <c r="H116" s="41">
        <v>0</v>
      </c>
      <c r="I116" s="42">
        <f t="shared" si="12"/>
        <v>0</v>
      </c>
      <c r="J116" s="41">
        <v>0</v>
      </c>
      <c r="K116" s="42">
        <f t="shared" si="13"/>
        <v>0</v>
      </c>
      <c r="L116" s="62">
        <v>0</v>
      </c>
      <c r="M116" s="42">
        <f t="shared" si="14"/>
        <v>0</v>
      </c>
      <c r="N116" s="41">
        <v>0</v>
      </c>
      <c r="O116" s="43">
        <f t="shared" si="15"/>
        <v>0</v>
      </c>
      <c r="P116" s="44">
        <f t="shared" si="19"/>
        <v>0</v>
      </c>
      <c r="Q116" s="42">
        <f t="shared" si="16"/>
        <v>0</v>
      </c>
      <c r="R116" s="93">
        <f t="shared" si="20"/>
        <v>0</v>
      </c>
      <c r="S116" s="45">
        <f t="shared" si="17"/>
        <v>0</v>
      </c>
    </row>
    <row r="117" spans="1:19" ht="12.75">
      <c r="A117" s="47">
        <v>92</v>
      </c>
      <c r="B117" s="74" t="s">
        <v>108</v>
      </c>
      <c r="C117" s="76">
        <v>33.6570945945946</v>
      </c>
      <c r="D117" s="38">
        <v>164</v>
      </c>
      <c r="E117" s="39">
        <f>17+13</f>
        <v>30</v>
      </c>
      <c r="F117" s="42">
        <f t="shared" si="18"/>
        <v>18.29268292682927</v>
      </c>
      <c r="G117" s="40">
        <f>17+13</f>
        <v>30</v>
      </c>
      <c r="H117" s="41">
        <v>0</v>
      </c>
      <c r="I117" s="42">
        <f t="shared" si="12"/>
        <v>0</v>
      </c>
      <c r="J117" s="41">
        <v>0</v>
      </c>
      <c r="K117" s="42">
        <f t="shared" si="13"/>
        <v>0</v>
      </c>
      <c r="L117" s="62">
        <v>0</v>
      </c>
      <c r="M117" s="42">
        <f t="shared" si="14"/>
        <v>0</v>
      </c>
      <c r="N117" s="41">
        <v>0</v>
      </c>
      <c r="O117" s="43">
        <f t="shared" si="15"/>
        <v>0</v>
      </c>
      <c r="P117" s="44">
        <f t="shared" si="19"/>
        <v>0</v>
      </c>
      <c r="Q117" s="42">
        <f t="shared" si="16"/>
        <v>0</v>
      </c>
      <c r="R117" s="93">
        <f t="shared" si="20"/>
        <v>0</v>
      </c>
      <c r="S117" s="45">
        <f t="shared" si="17"/>
        <v>0</v>
      </c>
    </row>
    <row r="118" spans="1:19" ht="12.75">
      <c r="A118" s="47">
        <v>93</v>
      </c>
      <c r="B118" s="74" t="s">
        <v>109</v>
      </c>
      <c r="C118" s="76">
        <v>61.946317598836444</v>
      </c>
      <c r="D118" s="38">
        <v>3536</v>
      </c>
      <c r="E118" s="39">
        <f>1389+977</f>
        <v>2366</v>
      </c>
      <c r="F118" s="42">
        <f t="shared" si="18"/>
        <v>66.91176470588235</v>
      </c>
      <c r="G118" s="40">
        <f>1366+1010</f>
        <v>2376</v>
      </c>
      <c r="H118" s="41">
        <f>42+69</f>
        <v>111</v>
      </c>
      <c r="I118" s="42">
        <f t="shared" si="12"/>
        <v>4.671717171717172</v>
      </c>
      <c r="J118" s="41">
        <f>24+26</f>
        <v>50</v>
      </c>
      <c r="K118" s="42">
        <f t="shared" si="13"/>
        <v>2.1043771043771047</v>
      </c>
      <c r="L118" s="62">
        <f>15+19</f>
        <v>34</v>
      </c>
      <c r="M118" s="42">
        <f t="shared" si="14"/>
        <v>1.430976430976431</v>
      </c>
      <c r="N118" s="41">
        <v>2</v>
      </c>
      <c r="O118" s="43">
        <f t="shared" si="15"/>
        <v>0.08417508417508417</v>
      </c>
      <c r="P118" s="44">
        <f t="shared" si="19"/>
        <v>197</v>
      </c>
      <c r="Q118" s="42">
        <f t="shared" si="16"/>
        <v>8.29124579124579</v>
      </c>
      <c r="R118" s="93">
        <f t="shared" si="20"/>
        <v>36</v>
      </c>
      <c r="S118" s="45">
        <f t="shared" si="17"/>
        <v>1.5151515151515151</v>
      </c>
    </row>
    <row r="119" spans="1:19" ht="12.75">
      <c r="A119" s="47">
        <v>94</v>
      </c>
      <c r="B119" s="74" t="s">
        <v>110</v>
      </c>
      <c r="C119" s="76">
        <v>41</v>
      </c>
      <c r="D119" s="38">
        <v>603</v>
      </c>
      <c r="E119" s="39">
        <f>56+34</f>
        <v>90</v>
      </c>
      <c r="F119" s="42">
        <f t="shared" si="18"/>
        <v>14.925373134328357</v>
      </c>
      <c r="G119" s="40">
        <f>55+34</f>
        <v>89</v>
      </c>
      <c r="H119" s="41">
        <v>0</v>
      </c>
      <c r="I119" s="42">
        <f t="shared" si="12"/>
        <v>0</v>
      </c>
      <c r="J119" s="41">
        <v>0</v>
      </c>
      <c r="K119" s="42">
        <f t="shared" si="13"/>
        <v>0</v>
      </c>
      <c r="L119" s="62">
        <v>0</v>
      </c>
      <c r="M119" s="42">
        <f t="shared" si="14"/>
        <v>0</v>
      </c>
      <c r="N119" s="41">
        <v>0</v>
      </c>
      <c r="O119" s="43">
        <f t="shared" si="15"/>
        <v>0</v>
      </c>
      <c r="P119" s="44">
        <f t="shared" si="19"/>
        <v>0</v>
      </c>
      <c r="Q119" s="42">
        <f t="shared" si="16"/>
        <v>0</v>
      </c>
      <c r="R119" s="93">
        <f t="shared" si="20"/>
        <v>0</v>
      </c>
      <c r="S119" s="45">
        <f t="shared" si="17"/>
        <v>0</v>
      </c>
    </row>
    <row r="120" spans="1:19" ht="12.75">
      <c r="A120" s="47">
        <v>95</v>
      </c>
      <c r="B120" s="74" t="s">
        <v>111</v>
      </c>
      <c r="C120" s="76">
        <v>30.03734827264239</v>
      </c>
      <c r="D120" s="38">
        <v>700</v>
      </c>
      <c r="E120" s="39">
        <f>262+141</f>
        <v>403</v>
      </c>
      <c r="F120" s="42">
        <f t="shared" si="18"/>
        <v>57.57142857142858</v>
      </c>
      <c r="G120" s="40">
        <f>240+143</f>
        <v>383</v>
      </c>
      <c r="H120" s="41">
        <v>3</v>
      </c>
      <c r="I120" s="42">
        <f t="shared" si="12"/>
        <v>0.7832898172323759</v>
      </c>
      <c r="J120" s="41">
        <v>3</v>
      </c>
      <c r="K120" s="42">
        <f t="shared" si="13"/>
        <v>0.7832898172323759</v>
      </c>
      <c r="L120" s="62">
        <v>4</v>
      </c>
      <c r="M120" s="42">
        <f t="shared" si="14"/>
        <v>1.0443864229765014</v>
      </c>
      <c r="N120" s="41">
        <v>0</v>
      </c>
      <c r="O120" s="43">
        <f t="shared" si="15"/>
        <v>0</v>
      </c>
      <c r="P120" s="44">
        <f t="shared" si="19"/>
        <v>10</v>
      </c>
      <c r="Q120" s="42">
        <f t="shared" si="16"/>
        <v>2.610966057441253</v>
      </c>
      <c r="R120" s="93">
        <f t="shared" si="20"/>
        <v>4</v>
      </c>
      <c r="S120" s="45">
        <f t="shared" si="17"/>
        <v>1.0443864229765014</v>
      </c>
    </row>
    <row r="121" spans="1:19" ht="12.75">
      <c r="A121" s="47">
        <v>96</v>
      </c>
      <c r="B121" s="74" t="s">
        <v>112</v>
      </c>
      <c r="C121" s="76">
        <v>40.52511415525114</v>
      </c>
      <c r="D121" s="38">
        <v>782</v>
      </c>
      <c r="E121" s="39">
        <f>179+25</f>
        <v>204</v>
      </c>
      <c r="F121" s="42">
        <f t="shared" si="18"/>
        <v>26.08695652173913</v>
      </c>
      <c r="G121" s="40">
        <f>177+25</f>
        <v>202</v>
      </c>
      <c r="H121" s="41">
        <v>0</v>
      </c>
      <c r="I121" s="42">
        <f t="shared" si="12"/>
        <v>0</v>
      </c>
      <c r="J121" s="41">
        <v>0</v>
      </c>
      <c r="K121" s="42">
        <f t="shared" si="13"/>
        <v>0</v>
      </c>
      <c r="L121" s="62">
        <v>0</v>
      </c>
      <c r="M121" s="42">
        <f t="shared" si="14"/>
        <v>0</v>
      </c>
      <c r="N121" s="41">
        <v>0</v>
      </c>
      <c r="O121" s="43">
        <f t="shared" si="15"/>
        <v>0</v>
      </c>
      <c r="P121" s="44">
        <f t="shared" si="19"/>
        <v>0</v>
      </c>
      <c r="Q121" s="42">
        <f t="shared" si="16"/>
        <v>0</v>
      </c>
      <c r="R121" s="93">
        <f t="shared" si="20"/>
        <v>0</v>
      </c>
      <c r="S121" s="45">
        <f t="shared" si="17"/>
        <v>0</v>
      </c>
    </row>
    <row r="122" spans="1:19" ht="12.75">
      <c r="A122" s="47">
        <v>97</v>
      </c>
      <c r="B122" s="74" t="s">
        <v>113</v>
      </c>
      <c r="C122" s="76">
        <v>32.240437158469945</v>
      </c>
      <c r="D122" s="38">
        <v>777</v>
      </c>
      <c r="E122" s="39">
        <f>184+136</f>
        <v>320</v>
      </c>
      <c r="F122" s="42">
        <f t="shared" si="18"/>
        <v>41.184041184041185</v>
      </c>
      <c r="G122" s="40">
        <f>185+134</f>
        <v>319</v>
      </c>
      <c r="H122" s="41">
        <v>1</v>
      </c>
      <c r="I122" s="42">
        <f t="shared" si="12"/>
        <v>0.3134796238244514</v>
      </c>
      <c r="J122" s="41">
        <v>0</v>
      </c>
      <c r="K122" s="42">
        <f t="shared" si="13"/>
        <v>0</v>
      </c>
      <c r="L122" s="62">
        <v>0</v>
      </c>
      <c r="M122" s="42">
        <f t="shared" si="14"/>
        <v>0</v>
      </c>
      <c r="N122" s="41">
        <v>0</v>
      </c>
      <c r="O122" s="43">
        <f t="shared" si="15"/>
        <v>0</v>
      </c>
      <c r="P122" s="44">
        <f t="shared" si="19"/>
        <v>1</v>
      </c>
      <c r="Q122" s="42">
        <f t="shared" si="16"/>
        <v>0.3134796238244514</v>
      </c>
      <c r="R122" s="93">
        <f t="shared" si="20"/>
        <v>0</v>
      </c>
      <c r="S122" s="45">
        <f t="shared" si="17"/>
        <v>0</v>
      </c>
    </row>
    <row r="123" spans="1:19" ht="13.5" thickBot="1">
      <c r="A123" s="47">
        <v>98</v>
      </c>
      <c r="B123" s="74" t="s">
        <v>114</v>
      </c>
      <c r="C123" s="76">
        <v>70.60849598163031</v>
      </c>
      <c r="D123" s="38">
        <v>40</v>
      </c>
      <c r="E123" s="39">
        <v>4</v>
      </c>
      <c r="F123" s="42">
        <f t="shared" si="18"/>
        <v>10</v>
      </c>
      <c r="G123" s="40">
        <v>4</v>
      </c>
      <c r="H123" s="41">
        <v>1</v>
      </c>
      <c r="I123" s="42">
        <f t="shared" si="12"/>
        <v>25</v>
      </c>
      <c r="J123" s="41">
        <v>0</v>
      </c>
      <c r="K123" s="42">
        <f t="shared" si="13"/>
        <v>0</v>
      </c>
      <c r="L123" s="62">
        <v>0</v>
      </c>
      <c r="M123" s="42">
        <f t="shared" si="14"/>
        <v>0</v>
      </c>
      <c r="N123" s="41">
        <v>0</v>
      </c>
      <c r="O123" s="43">
        <f t="shared" si="15"/>
        <v>0</v>
      </c>
      <c r="P123" s="44">
        <f t="shared" si="19"/>
        <v>1</v>
      </c>
      <c r="Q123" s="42">
        <f t="shared" si="16"/>
        <v>25</v>
      </c>
      <c r="R123" s="93">
        <f t="shared" si="20"/>
        <v>0</v>
      </c>
      <c r="S123" s="45">
        <f t="shared" si="17"/>
        <v>0</v>
      </c>
    </row>
    <row r="124" spans="1:19" ht="13.5" thickTop="1">
      <c r="A124" s="80" t="s">
        <v>196</v>
      </c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81"/>
    </row>
    <row r="125" spans="1:19" ht="12.75">
      <c r="A125" s="3" t="s">
        <v>197</v>
      </c>
      <c r="B125" s="10"/>
      <c r="C125" s="10"/>
      <c r="D125" s="83"/>
      <c r="E125" s="83"/>
      <c r="F125" s="83"/>
      <c r="G125" s="83"/>
      <c r="H125" s="83"/>
      <c r="I125" s="83"/>
      <c r="J125" s="5"/>
      <c r="K125" s="83"/>
      <c r="L125" s="83"/>
      <c r="M125" s="83"/>
      <c r="N125" s="83"/>
      <c r="O125" s="83"/>
      <c r="P125" s="83"/>
      <c r="Q125" s="83"/>
      <c r="R125" s="10"/>
      <c r="S125" s="72"/>
    </row>
    <row r="126" spans="1:19" ht="13.5" thickBot="1">
      <c r="A126" s="31"/>
      <c r="B126" s="4"/>
      <c r="C126" s="4"/>
      <c r="D126" s="5"/>
      <c r="E126" s="5"/>
      <c r="F126" s="5"/>
      <c r="G126" s="5"/>
      <c r="H126" s="5"/>
      <c r="I126" s="5"/>
      <c r="K126" s="5"/>
      <c r="L126" s="5"/>
      <c r="M126" s="5"/>
      <c r="N126" s="5"/>
      <c r="O126" s="4"/>
      <c r="P126" s="4"/>
      <c r="Q126" s="4"/>
      <c r="R126" s="4"/>
      <c r="S126" s="72"/>
    </row>
    <row r="127" spans="1:19" ht="13.5" thickTop="1">
      <c r="A127" s="8"/>
      <c r="B127" s="1"/>
      <c r="C127" s="95"/>
      <c r="D127" s="94" t="s">
        <v>198</v>
      </c>
      <c r="E127" s="1"/>
      <c r="F127" s="6"/>
      <c r="G127" s="94" t="s">
        <v>190</v>
      </c>
      <c r="H127" s="1"/>
      <c r="I127" s="7"/>
      <c r="J127" s="7"/>
      <c r="K127" s="7"/>
      <c r="L127" s="7"/>
      <c r="M127" s="7"/>
      <c r="N127" s="7"/>
      <c r="O127" s="1"/>
      <c r="P127" s="1"/>
      <c r="Q127" s="1"/>
      <c r="R127" s="1"/>
      <c r="S127" s="81"/>
    </row>
    <row r="128" spans="1:19" ht="13.5" thickBot="1">
      <c r="A128" s="8"/>
      <c r="B128" s="4"/>
      <c r="C128" s="77"/>
      <c r="D128" s="13" t="s">
        <v>187</v>
      </c>
      <c r="E128" s="14"/>
      <c r="F128" s="15"/>
      <c r="G128" s="16" t="s">
        <v>200</v>
      </c>
      <c r="H128" s="14"/>
      <c r="I128" s="17"/>
      <c r="J128" s="17"/>
      <c r="K128" s="17"/>
      <c r="L128" s="17"/>
      <c r="M128" s="17"/>
      <c r="N128" s="17"/>
      <c r="O128" s="14"/>
      <c r="P128" s="4"/>
      <c r="Q128" s="4"/>
      <c r="R128" s="4"/>
      <c r="S128" s="72"/>
    </row>
    <row r="129" spans="1:19" s="9" customFormat="1" ht="13.5" thickTop="1">
      <c r="A129" s="12" t="s">
        <v>194</v>
      </c>
      <c r="C129" s="79" t="s">
        <v>189</v>
      </c>
      <c r="D129" s="18" t="s">
        <v>0</v>
      </c>
      <c r="E129" s="19" t="s">
        <v>1</v>
      </c>
      <c r="F129" s="11"/>
      <c r="G129" s="18" t="s">
        <v>2</v>
      </c>
      <c r="H129" s="78" t="s">
        <v>193</v>
      </c>
      <c r="I129" s="21"/>
      <c r="J129" s="67"/>
      <c r="K129" s="21"/>
      <c r="L129" s="71"/>
      <c r="M129" s="21"/>
      <c r="N129" s="21"/>
      <c r="O129" s="22"/>
      <c r="P129" s="101" t="s">
        <v>3</v>
      </c>
      <c r="Q129" s="23"/>
      <c r="R129" s="82"/>
      <c r="S129" s="102"/>
    </row>
    <row r="130" spans="1:19" ht="12.75">
      <c r="A130" s="8"/>
      <c r="B130" s="9"/>
      <c r="C130" s="79" t="s">
        <v>191</v>
      </c>
      <c r="D130" s="18" t="s">
        <v>4</v>
      </c>
      <c r="E130" s="24" t="s">
        <v>5</v>
      </c>
      <c r="F130" s="25"/>
      <c r="G130" s="18" t="s">
        <v>6</v>
      </c>
      <c r="H130" s="20" t="s">
        <v>7</v>
      </c>
      <c r="I130" s="26"/>
      <c r="J130" s="78" t="s">
        <v>192</v>
      </c>
      <c r="K130" s="26"/>
      <c r="L130" s="20" t="s">
        <v>8</v>
      </c>
      <c r="M130" s="26"/>
      <c r="N130" s="20" t="s">
        <v>9</v>
      </c>
      <c r="O130" s="27"/>
      <c r="P130" s="28" t="s">
        <v>10</v>
      </c>
      <c r="Q130" s="4"/>
      <c r="R130" s="29" t="s">
        <v>11</v>
      </c>
      <c r="S130" s="30"/>
    </row>
    <row r="131" spans="1:19" s="92" customFormat="1" ht="13.5" thickBot="1">
      <c r="A131" s="84"/>
      <c r="B131" s="85"/>
      <c r="C131" s="86" t="s">
        <v>195</v>
      </c>
      <c r="D131" s="87" t="s">
        <v>12</v>
      </c>
      <c r="E131" s="88" t="s">
        <v>13</v>
      </c>
      <c r="F131" s="88" t="s">
        <v>14</v>
      </c>
      <c r="G131" s="87" t="s">
        <v>15</v>
      </c>
      <c r="H131" s="88" t="s">
        <v>13</v>
      </c>
      <c r="I131" s="88" t="s">
        <v>14</v>
      </c>
      <c r="J131" s="88" t="s">
        <v>13</v>
      </c>
      <c r="K131" s="88" t="s">
        <v>14</v>
      </c>
      <c r="L131" s="88" t="s">
        <v>13</v>
      </c>
      <c r="M131" s="88" t="s">
        <v>14</v>
      </c>
      <c r="N131" s="88" t="s">
        <v>13</v>
      </c>
      <c r="O131" s="89" t="s">
        <v>14</v>
      </c>
      <c r="P131" s="88" t="s">
        <v>13</v>
      </c>
      <c r="Q131" s="90" t="s">
        <v>14</v>
      </c>
      <c r="R131" s="88" t="s">
        <v>13</v>
      </c>
      <c r="S131" s="91" t="s">
        <v>14</v>
      </c>
    </row>
    <row r="132" spans="1:19" ht="13.5" thickTop="1">
      <c r="A132" s="47">
        <v>99</v>
      </c>
      <c r="B132" s="74" t="s">
        <v>115</v>
      </c>
      <c r="C132" s="76">
        <v>33.81624094548227</v>
      </c>
      <c r="D132" s="38">
        <v>364</v>
      </c>
      <c r="E132" s="39">
        <f>62+31</f>
        <v>93</v>
      </c>
      <c r="F132" s="42">
        <f t="shared" si="18"/>
        <v>25.549450549450547</v>
      </c>
      <c r="G132" s="40">
        <f>63+31</f>
        <v>94</v>
      </c>
      <c r="H132" s="41">
        <v>1</v>
      </c>
      <c r="I132" s="42">
        <f t="shared" si="12"/>
        <v>1.0638297872340425</v>
      </c>
      <c r="J132" s="41">
        <v>0</v>
      </c>
      <c r="K132" s="42">
        <f t="shared" si="13"/>
        <v>0</v>
      </c>
      <c r="L132" s="62">
        <v>0</v>
      </c>
      <c r="M132" s="42">
        <f t="shared" si="14"/>
        <v>0</v>
      </c>
      <c r="N132" s="41">
        <v>0</v>
      </c>
      <c r="O132" s="43">
        <f t="shared" si="15"/>
        <v>0</v>
      </c>
      <c r="P132" s="44">
        <f aca="true" t="shared" si="21" ref="P132:P164">SUM(H132)+J132+L132+N132</f>
        <v>1</v>
      </c>
      <c r="Q132" s="42">
        <f t="shared" si="16"/>
        <v>1.0638297872340425</v>
      </c>
      <c r="R132" s="93">
        <f aca="true" t="shared" si="22" ref="R132:R164">+L132+N132</f>
        <v>0</v>
      </c>
      <c r="S132" s="45">
        <f t="shared" si="17"/>
        <v>0</v>
      </c>
    </row>
    <row r="133" spans="1:19" ht="12" customHeight="1">
      <c r="A133" s="47">
        <v>100</v>
      </c>
      <c r="B133" s="74" t="s">
        <v>116</v>
      </c>
      <c r="C133" s="76">
        <v>59.072022160664815</v>
      </c>
      <c r="D133" s="38">
        <v>51</v>
      </c>
      <c r="E133" s="39">
        <v>2</v>
      </c>
      <c r="F133" s="42">
        <f t="shared" si="18"/>
        <v>3.9215686274509802</v>
      </c>
      <c r="G133" s="40">
        <v>2</v>
      </c>
      <c r="H133" s="41">
        <v>0</v>
      </c>
      <c r="I133" s="42">
        <f t="shared" si="12"/>
        <v>0</v>
      </c>
      <c r="J133" s="52">
        <v>0</v>
      </c>
      <c r="K133" s="42">
        <f t="shared" si="13"/>
        <v>0</v>
      </c>
      <c r="L133" s="62">
        <v>0</v>
      </c>
      <c r="M133" s="42">
        <f t="shared" si="14"/>
        <v>0</v>
      </c>
      <c r="N133" s="41">
        <v>0</v>
      </c>
      <c r="O133" s="43">
        <f t="shared" si="15"/>
        <v>0</v>
      </c>
      <c r="P133" s="44">
        <f t="shared" si="21"/>
        <v>0</v>
      </c>
      <c r="Q133" s="42">
        <f t="shared" si="16"/>
        <v>0</v>
      </c>
      <c r="R133" s="93">
        <f t="shared" si="22"/>
        <v>0</v>
      </c>
      <c r="S133" s="45">
        <f t="shared" si="17"/>
        <v>0</v>
      </c>
    </row>
    <row r="134" spans="1:19" ht="12.75">
      <c r="A134" s="47">
        <v>101</v>
      </c>
      <c r="B134" s="74" t="s">
        <v>117</v>
      </c>
      <c r="C134" s="76">
        <v>46.05038185341389</v>
      </c>
      <c r="D134" s="38">
        <v>478</v>
      </c>
      <c r="E134" s="39">
        <f>87+71</f>
        <v>158</v>
      </c>
      <c r="F134" s="42">
        <f t="shared" si="18"/>
        <v>33.054393305439326</v>
      </c>
      <c r="G134" s="40">
        <f>86+71</f>
        <v>157</v>
      </c>
      <c r="H134" s="41">
        <v>1</v>
      </c>
      <c r="I134" s="42">
        <f t="shared" si="12"/>
        <v>0.6369426751592357</v>
      </c>
      <c r="J134" s="41">
        <v>0</v>
      </c>
      <c r="K134" s="42">
        <f t="shared" si="13"/>
        <v>0</v>
      </c>
      <c r="L134" s="62">
        <v>0</v>
      </c>
      <c r="M134" s="42">
        <f t="shared" si="14"/>
        <v>0</v>
      </c>
      <c r="N134" s="41">
        <v>0</v>
      </c>
      <c r="O134" s="43">
        <f t="shared" si="15"/>
        <v>0</v>
      </c>
      <c r="P134" s="44">
        <f t="shared" si="21"/>
        <v>1</v>
      </c>
      <c r="Q134" s="42">
        <f t="shared" si="16"/>
        <v>0.6369426751592357</v>
      </c>
      <c r="R134" s="93">
        <f t="shared" si="22"/>
        <v>0</v>
      </c>
      <c r="S134" s="45">
        <f t="shared" si="17"/>
        <v>0</v>
      </c>
    </row>
    <row r="135" spans="1:19" ht="12.75">
      <c r="A135" s="47">
        <v>102</v>
      </c>
      <c r="B135" s="74" t="s">
        <v>118</v>
      </c>
      <c r="C135" s="76">
        <v>35.03898635477583</v>
      </c>
      <c r="D135" s="38">
        <v>108</v>
      </c>
      <c r="E135" s="39">
        <f>27+12</f>
        <v>39</v>
      </c>
      <c r="F135" s="42">
        <f t="shared" si="18"/>
        <v>36.11111111111111</v>
      </c>
      <c r="G135" s="40">
        <f>24+13</f>
        <v>37</v>
      </c>
      <c r="H135" s="41">
        <v>0</v>
      </c>
      <c r="I135" s="42">
        <f t="shared" si="12"/>
        <v>0</v>
      </c>
      <c r="J135" s="66">
        <v>0</v>
      </c>
      <c r="K135" s="42">
        <f t="shared" si="13"/>
        <v>0</v>
      </c>
      <c r="L135" s="62">
        <v>0</v>
      </c>
      <c r="M135" s="42">
        <f t="shared" si="14"/>
        <v>0</v>
      </c>
      <c r="N135" s="41">
        <v>0</v>
      </c>
      <c r="O135" s="43">
        <f t="shared" si="15"/>
        <v>0</v>
      </c>
      <c r="P135" s="44">
        <f t="shared" si="21"/>
        <v>0</v>
      </c>
      <c r="Q135" s="42">
        <f t="shared" si="16"/>
        <v>0</v>
      </c>
      <c r="R135" s="93">
        <f t="shared" si="22"/>
        <v>0</v>
      </c>
      <c r="S135" s="45">
        <f t="shared" si="17"/>
        <v>0</v>
      </c>
    </row>
    <row r="136" spans="1:19" ht="12.75">
      <c r="A136" s="47">
        <v>103</v>
      </c>
      <c r="B136" s="74" t="s">
        <v>119</v>
      </c>
      <c r="C136" s="76">
        <v>52.567179213699525</v>
      </c>
      <c r="D136" s="38">
        <v>2289</v>
      </c>
      <c r="E136" s="39">
        <f>633+639</f>
        <v>1272</v>
      </c>
      <c r="F136" s="42">
        <f t="shared" si="18"/>
        <v>55.57011795543906</v>
      </c>
      <c r="G136" s="40">
        <f>633+637</f>
        <v>1270</v>
      </c>
      <c r="H136" s="41">
        <v>9</v>
      </c>
      <c r="I136" s="42">
        <f t="shared" si="12"/>
        <v>0.7086614173228346</v>
      </c>
      <c r="J136" s="41">
        <v>2</v>
      </c>
      <c r="K136" s="42">
        <f t="shared" si="13"/>
        <v>0.15748031496062992</v>
      </c>
      <c r="L136" s="62">
        <v>2</v>
      </c>
      <c r="M136" s="42">
        <f t="shared" si="14"/>
        <v>0.15748031496062992</v>
      </c>
      <c r="N136" s="41">
        <v>0</v>
      </c>
      <c r="O136" s="43">
        <f t="shared" si="15"/>
        <v>0</v>
      </c>
      <c r="P136" s="44">
        <f t="shared" si="21"/>
        <v>13</v>
      </c>
      <c r="Q136" s="42">
        <f t="shared" si="16"/>
        <v>1.0236220472440944</v>
      </c>
      <c r="R136" s="93">
        <f t="shared" si="22"/>
        <v>2</v>
      </c>
      <c r="S136" s="45">
        <f t="shared" si="17"/>
        <v>0.15748031496062992</v>
      </c>
    </row>
    <row r="137" spans="1:19" ht="12.75">
      <c r="A137" s="47">
        <v>104</v>
      </c>
      <c r="B137" s="74" t="s">
        <v>120</v>
      </c>
      <c r="C137" s="76">
        <v>62.01807228915662</v>
      </c>
      <c r="D137" s="38">
        <v>891</v>
      </c>
      <c r="E137" s="39">
        <f>305+181</f>
        <v>486</v>
      </c>
      <c r="F137" s="42">
        <f t="shared" si="18"/>
        <v>54.54545454545454</v>
      </c>
      <c r="G137" s="40">
        <f>310+183</f>
        <v>493</v>
      </c>
      <c r="H137" s="41">
        <v>15</v>
      </c>
      <c r="I137" s="42">
        <f t="shared" si="12"/>
        <v>3.0425963488843815</v>
      </c>
      <c r="J137" s="41">
        <v>4</v>
      </c>
      <c r="K137" s="42">
        <f t="shared" si="13"/>
        <v>0.8113590263691683</v>
      </c>
      <c r="L137" s="62">
        <v>1</v>
      </c>
      <c r="M137" s="42">
        <f t="shared" si="14"/>
        <v>0.2028397565922921</v>
      </c>
      <c r="N137" s="41">
        <v>0</v>
      </c>
      <c r="O137" s="43">
        <f t="shared" si="15"/>
        <v>0</v>
      </c>
      <c r="P137" s="44">
        <f t="shared" si="21"/>
        <v>20</v>
      </c>
      <c r="Q137" s="42">
        <f t="shared" si="16"/>
        <v>4.056795131845842</v>
      </c>
      <c r="R137" s="93">
        <f t="shared" si="22"/>
        <v>1</v>
      </c>
      <c r="S137" s="45">
        <f t="shared" si="17"/>
        <v>0.2028397565922921</v>
      </c>
    </row>
    <row r="138" spans="1:19" ht="12.75">
      <c r="A138" s="47">
        <v>105</v>
      </c>
      <c r="B138" s="74" t="s">
        <v>121</v>
      </c>
      <c r="C138" s="76">
        <v>50.984682713347915</v>
      </c>
      <c r="D138" s="38">
        <v>153</v>
      </c>
      <c r="E138" s="39">
        <v>89</v>
      </c>
      <c r="F138" s="42">
        <f t="shared" si="18"/>
        <v>58.16993464052288</v>
      </c>
      <c r="G138" s="40">
        <f>46+43</f>
        <v>89</v>
      </c>
      <c r="H138" s="41">
        <v>0</v>
      </c>
      <c r="I138" s="42">
        <f aca="true" t="shared" si="23" ref="I138:I195">+(H138/$G138)*100</f>
        <v>0</v>
      </c>
      <c r="J138" s="41">
        <v>1</v>
      </c>
      <c r="K138" s="42">
        <f aca="true" t="shared" si="24" ref="K138:K195">+(J138/$G138)*100</f>
        <v>1.1235955056179776</v>
      </c>
      <c r="L138" s="62">
        <v>0</v>
      </c>
      <c r="M138" s="42">
        <f aca="true" t="shared" si="25" ref="M138:M195">+(L138/$G138)*100</f>
        <v>0</v>
      </c>
      <c r="N138" s="41">
        <v>0</v>
      </c>
      <c r="O138" s="43">
        <f aca="true" t="shared" si="26" ref="O138:O195">+(N138/$G138)*100</f>
        <v>0</v>
      </c>
      <c r="P138" s="44">
        <f t="shared" si="21"/>
        <v>1</v>
      </c>
      <c r="Q138" s="42">
        <f aca="true" t="shared" si="27" ref="Q138:Q195">+(P138/$G138)*100</f>
        <v>1.1235955056179776</v>
      </c>
      <c r="R138" s="93">
        <f t="shared" si="22"/>
        <v>0</v>
      </c>
      <c r="S138" s="45">
        <f t="shared" si="17"/>
        <v>0</v>
      </c>
    </row>
    <row r="139" spans="1:19" ht="12.75">
      <c r="A139" s="47">
        <v>106</v>
      </c>
      <c r="B139" s="74" t="s">
        <v>122</v>
      </c>
      <c r="C139" s="76">
        <v>45.137203658764236</v>
      </c>
      <c r="D139" s="38">
        <v>238</v>
      </c>
      <c r="E139" s="39">
        <f>83+65</f>
        <v>148</v>
      </c>
      <c r="F139" s="42">
        <f t="shared" si="18"/>
        <v>62.18487394957983</v>
      </c>
      <c r="G139" s="40">
        <f>82+65</f>
        <v>147</v>
      </c>
      <c r="H139" s="41">
        <v>1</v>
      </c>
      <c r="I139" s="42">
        <f t="shared" si="23"/>
        <v>0.6802721088435374</v>
      </c>
      <c r="J139" s="41">
        <v>0</v>
      </c>
      <c r="K139" s="42">
        <f t="shared" si="24"/>
        <v>0</v>
      </c>
      <c r="L139" s="62">
        <v>0</v>
      </c>
      <c r="M139" s="42">
        <f t="shared" si="25"/>
        <v>0</v>
      </c>
      <c r="N139" s="41">
        <v>0</v>
      </c>
      <c r="O139" s="43">
        <f t="shared" si="26"/>
        <v>0</v>
      </c>
      <c r="P139" s="44">
        <f t="shared" si="21"/>
        <v>1</v>
      </c>
      <c r="Q139" s="42">
        <f t="shared" si="27"/>
        <v>0.6802721088435374</v>
      </c>
      <c r="R139" s="93">
        <f t="shared" si="22"/>
        <v>0</v>
      </c>
      <c r="S139" s="45">
        <f aca="true" t="shared" si="28" ref="S139:S195">+(R139/$G139)*100</f>
        <v>0</v>
      </c>
    </row>
    <row r="140" spans="1:19" ht="12.75">
      <c r="A140" s="47">
        <v>107</v>
      </c>
      <c r="B140" s="74" t="s">
        <v>123</v>
      </c>
      <c r="C140" s="76">
        <v>46.85831622176591</v>
      </c>
      <c r="D140" s="38">
        <v>304</v>
      </c>
      <c r="E140" s="39">
        <f>65+17</f>
        <v>82</v>
      </c>
      <c r="F140" s="42">
        <f t="shared" si="18"/>
        <v>26.973684210526315</v>
      </c>
      <c r="G140" s="40">
        <f>65+17</f>
        <v>82</v>
      </c>
      <c r="H140" s="41">
        <v>1</v>
      </c>
      <c r="I140" s="42">
        <f t="shared" si="23"/>
        <v>1.2195121951219512</v>
      </c>
      <c r="J140" s="41">
        <v>1</v>
      </c>
      <c r="K140" s="42">
        <f t="shared" si="24"/>
        <v>1.2195121951219512</v>
      </c>
      <c r="L140" s="62">
        <v>0</v>
      </c>
      <c r="M140" s="42">
        <f t="shared" si="25"/>
        <v>0</v>
      </c>
      <c r="N140" s="41">
        <v>0</v>
      </c>
      <c r="O140" s="43">
        <f t="shared" si="26"/>
        <v>0</v>
      </c>
      <c r="P140" s="44">
        <f t="shared" si="21"/>
        <v>2</v>
      </c>
      <c r="Q140" s="42">
        <f t="shared" si="27"/>
        <v>2.4390243902439024</v>
      </c>
      <c r="R140" s="93">
        <f t="shared" si="22"/>
        <v>0</v>
      </c>
      <c r="S140" s="45">
        <f t="shared" si="28"/>
        <v>0</v>
      </c>
    </row>
    <row r="141" spans="1:19" ht="12.75">
      <c r="A141" s="47">
        <v>108</v>
      </c>
      <c r="B141" s="74" t="s">
        <v>124</v>
      </c>
      <c r="C141" s="76">
        <v>29.70760233918129</v>
      </c>
      <c r="D141" s="38">
        <v>240</v>
      </c>
      <c r="E141" s="39">
        <v>91</v>
      </c>
      <c r="F141" s="42">
        <f t="shared" si="18"/>
        <v>37.916666666666664</v>
      </c>
      <c r="G141" s="40">
        <f>53+39</f>
        <v>92</v>
      </c>
      <c r="H141" s="41">
        <v>0</v>
      </c>
      <c r="I141" s="42">
        <f t="shared" si="23"/>
        <v>0</v>
      </c>
      <c r="J141" s="41">
        <v>0</v>
      </c>
      <c r="K141" s="42">
        <f t="shared" si="24"/>
        <v>0</v>
      </c>
      <c r="L141" s="62">
        <v>0</v>
      </c>
      <c r="M141" s="42">
        <f t="shared" si="25"/>
        <v>0</v>
      </c>
      <c r="N141" s="41">
        <v>0</v>
      </c>
      <c r="O141" s="43">
        <f t="shared" si="26"/>
        <v>0</v>
      </c>
      <c r="P141" s="44">
        <f t="shared" si="21"/>
        <v>0</v>
      </c>
      <c r="Q141" s="42">
        <f t="shared" si="27"/>
        <v>0</v>
      </c>
      <c r="R141" s="93">
        <f t="shared" si="22"/>
        <v>0</v>
      </c>
      <c r="S141" s="45">
        <f t="shared" si="28"/>
        <v>0</v>
      </c>
    </row>
    <row r="142" spans="1:19" ht="12.75">
      <c r="A142" s="47">
        <v>109</v>
      </c>
      <c r="B142" s="74" t="s">
        <v>125</v>
      </c>
      <c r="C142" s="76">
        <v>47.19873150105708</v>
      </c>
      <c r="D142" s="38">
        <v>398</v>
      </c>
      <c r="E142" s="39">
        <f>112+71</f>
        <v>183</v>
      </c>
      <c r="F142" s="42">
        <f t="shared" si="18"/>
        <v>45.97989949748744</v>
      </c>
      <c r="G142" s="40">
        <f>112+75</f>
        <v>187</v>
      </c>
      <c r="H142" s="41">
        <v>4</v>
      </c>
      <c r="I142" s="42">
        <f t="shared" si="23"/>
        <v>2.13903743315508</v>
      </c>
      <c r="J142" s="41">
        <v>2</v>
      </c>
      <c r="K142" s="42">
        <f t="shared" si="24"/>
        <v>1.06951871657754</v>
      </c>
      <c r="L142" s="62">
        <v>2</v>
      </c>
      <c r="M142" s="42">
        <f t="shared" si="25"/>
        <v>1.06951871657754</v>
      </c>
      <c r="N142" s="41">
        <v>0</v>
      </c>
      <c r="O142" s="43">
        <f t="shared" si="26"/>
        <v>0</v>
      </c>
      <c r="P142" s="44">
        <f t="shared" si="21"/>
        <v>8</v>
      </c>
      <c r="Q142" s="42">
        <f t="shared" si="27"/>
        <v>4.27807486631016</v>
      </c>
      <c r="R142" s="93">
        <f t="shared" si="22"/>
        <v>2</v>
      </c>
      <c r="S142" s="45">
        <f t="shared" si="28"/>
        <v>1.06951871657754</v>
      </c>
    </row>
    <row r="143" spans="1:19" ht="12.75">
      <c r="A143" s="47">
        <v>110</v>
      </c>
      <c r="B143" s="74" t="s">
        <v>126</v>
      </c>
      <c r="C143" s="76">
        <v>45.322434150772025</v>
      </c>
      <c r="D143" s="38">
        <v>339</v>
      </c>
      <c r="E143" s="39">
        <f>58+19</f>
        <v>77</v>
      </c>
      <c r="F143" s="42">
        <f t="shared" si="18"/>
        <v>22.71386430678466</v>
      </c>
      <c r="G143" s="40">
        <f>56+19</f>
        <v>75</v>
      </c>
      <c r="H143" s="41">
        <v>1</v>
      </c>
      <c r="I143" s="42">
        <f t="shared" si="23"/>
        <v>1.3333333333333335</v>
      </c>
      <c r="J143" s="41">
        <v>0</v>
      </c>
      <c r="K143" s="42">
        <f t="shared" si="24"/>
        <v>0</v>
      </c>
      <c r="L143" s="62">
        <v>0</v>
      </c>
      <c r="M143" s="42">
        <f t="shared" si="25"/>
        <v>0</v>
      </c>
      <c r="N143" s="41">
        <v>0</v>
      </c>
      <c r="O143" s="43">
        <f t="shared" si="26"/>
        <v>0</v>
      </c>
      <c r="P143" s="44">
        <f t="shared" si="21"/>
        <v>1</v>
      </c>
      <c r="Q143" s="42">
        <f t="shared" si="27"/>
        <v>1.3333333333333335</v>
      </c>
      <c r="R143" s="93">
        <f t="shared" si="22"/>
        <v>0</v>
      </c>
      <c r="S143" s="45">
        <f t="shared" si="28"/>
        <v>0</v>
      </c>
    </row>
    <row r="144" spans="1:19" ht="12.75">
      <c r="A144" s="47">
        <v>111</v>
      </c>
      <c r="B144" s="74" t="s">
        <v>127</v>
      </c>
      <c r="C144" s="76">
        <v>52.41067585019371</v>
      </c>
      <c r="D144" s="38">
        <v>262</v>
      </c>
      <c r="E144" s="39">
        <f>76+19</f>
        <v>95</v>
      </c>
      <c r="F144" s="42">
        <f t="shared" si="18"/>
        <v>36.25954198473282</v>
      </c>
      <c r="G144" s="40">
        <f>74+18</f>
        <v>92</v>
      </c>
      <c r="H144" s="41">
        <v>0</v>
      </c>
      <c r="I144" s="42">
        <f t="shared" si="23"/>
        <v>0</v>
      </c>
      <c r="J144" s="41">
        <v>0</v>
      </c>
      <c r="K144" s="42">
        <f t="shared" si="24"/>
        <v>0</v>
      </c>
      <c r="L144" s="62">
        <v>0</v>
      </c>
      <c r="M144" s="42">
        <v>0</v>
      </c>
      <c r="N144" s="41">
        <v>0</v>
      </c>
      <c r="O144" s="43">
        <f t="shared" si="26"/>
        <v>0</v>
      </c>
      <c r="P144" s="44">
        <f t="shared" si="21"/>
        <v>0</v>
      </c>
      <c r="Q144" s="42">
        <f t="shared" si="27"/>
        <v>0</v>
      </c>
      <c r="R144" s="93">
        <f t="shared" si="22"/>
        <v>0</v>
      </c>
      <c r="S144" s="45">
        <f t="shared" si="28"/>
        <v>0</v>
      </c>
    </row>
    <row r="145" spans="1:19" ht="12.75">
      <c r="A145" s="47">
        <v>112</v>
      </c>
      <c r="B145" s="74" t="s">
        <v>128</v>
      </c>
      <c r="C145" s="76">
        <v>44.44444444444444</v>
      </c>
      <c r="D145" s="38">
        <v>78</v>
      </c>
      <c r="E145" s="39">
        <v>34</v>
      </c>
      <c r="F145" s="42">
        <f t="shared" si="18"/>
        <v>43.58974358974359</v>
      </c>
      <c r="G145" s="40">
        <v>33</v>
      </c>
      <c r="H145" s="41">
        <v>0</v>
      </c>
      <c r="I145" s="42">
        <f t="shared" si="23"/>
        <v>0</v>
      </c>
      <c r="J145" s="41">
        <v>0</v>
      </c>
      <c r="K145" s="42">
        <f t="shared" si="24"/>
        <v>0</v>
      </c>
      <c r="L145" s="62">
        <v>0</v>
      </c>
      <c r="M145" s="42">
        <f t="shared" si="25"/>
        <v>0</v>
      </c>
      <c r="N145" s="41">
        <v>0</v>
      </c>
      <c r="O145" s="43">
        <f t="shared" si="26"/>
        <v>0</v>
      </c>
      <c r="P145" s="44">
        <f t="shared" si="21"/>
        <v>0</v>
      </c>
      <c r="Q145" s="42">
        <f t="shared" si="27"/>
        <v>0</v>
      </c>
      <c r="R145" s="93">
        <f t="shared" si="22"/>
        <v>0</v>
      </c>
      <c r="S145" s="45">
        <f t="shared" si="28"/>
        <v>0</v>
      </c>
    </row>
    <row r="146" spans="1:19" ht="12.75">
      <c r="A146" s="47">
        <v>113</v>
      </c>
      <c r="B146" s="74" t="s">
        <v>129</v>
      </c>
      <c r="C146" s="76">
        <v>57.341269841269835</v>
      </c>
      <c r="D146" s="38">
        <v>244</v>
      </c>
      <c r="E146" s="39">
        <v>82</v>
      </c>
      <c r="F146" s="42">
        <f t="shared" si="18"/>
        <v>33.60655737704918</v>
      </c>
      <c r="G146" s="40">
        <v>82</v>
      </c>
      <c r="H146" s="41">
        <v>0</v>
      </c>
      <c r="I146" s="42">
        <f t="shared" si="23"/>
        <v>0</v>
      </c>
      <c r="J146" s="41">
        <v>0</v>
      </c>
      <c r="K146" s="42">
        <f t="shared" si="24"/>
        <v>0</v>
      </c>
      <c r="L146" s="62">
        <v>0</v>
      </c>
      <c r="M146" s="42">
        <v>0</v>
      </c>
      <c r="N146" s="41">
        <v>0</v>
      </c>
      <c r="O146" s="43">
        <f t="shared" si="26"/>
        <v>0</v>
      </c>
      <c r="P146" s="44">
        <f t="shared" si="21"/>
        <v>0</v>
      </c>
      <c r="Q146" s="42">
        <f t="shared" si="27"/>
        <v>0</v>
      </c>
      <c r="R146" s="93">
        <f t="shared" si="22"/>
        <v>0</v>
      </c>
      <c r="S146" s="45">
        <f t="shared" si="28"/>
        <v>0</v>
      </c>
    </row>
    <row r="147" spans="1:19" ht="12.75">
      <c r="A147" s="47">
        <v>114</v>
      </c>
      <c r="B147" s="74" t="s">
        <v>130</v>
      </c>
      <c r="C147" s="76">
        <v>37.55917937927406</v>
      </c>
      <c r="D147" s="38">
        <v>84</v>
      </c>
      <c r="E147" s="39">
        <v>34</v>
      </c>
      <c r="F147" s="42">
        <f t="shared" si="18"/>
        <v>40.476190476190474</v>
      </c>
      <c r="G147" s="40">
        <f>25+9</f>
        <v>34</v>
      </c>
      <c r="H147" s="41">
        <v>0</v>
      </c>
      <c r="I147" s="42">
        <f t="shared" si="23"/>
        <v>0</v>
      </c>
      <c r="J147" s="41">
        <v>0</v>
      </c>
      <c r="K147" s="42">
        <f t="shared" si="24"/>
        <v>0</v>
      </c>
      <c r="L147" s="62">
        <v>0</v>
      </c>
      <c r="M147" s="42">
        <f t="shared" si="25"/>
        <v>0</v>
      </c>
      <c r="N147" s="41">
        <v>0</v>
      </c>
      <c r="O147" s="43">
        <f t="shared" si="26"/>
        <v>0</v>
      </c>
      <c r="P147" s="44">
        <f t="shared" si="21"/>
        <v>0</v>
      </c>
      <c r="Q147" s="42">
        <f t="shared" si="27"/>
        <v>0</v>
      </c>
      <c r="R147" s="93">
        <f t="shared" si="22"/>
        <v>0</v>
      </c>
      <c r="S147" s="45">
        <f t="shared" si="28"/>
        <v>0</v>
      </c>
    </row>
    <row r="148" spans="1:19" ht="12.75">
      <c r="A148" s="47">
        <v>115</v>
      </c>
      <c r="B148" s="74" t="s">
        <v>131</v>
      </c>
      <c r="C148" s="76">
        <v>31.286360698125403</v>
      </c>
      <c r="D148" s="38">
        <v>225</v>
      </c>
      <c r="E148" s="39">
        <v>70</v>
      </c>
      <c r="F148" s="42">
        <f t="shared" si="18"/>
        <v>31.11111111111111</v>
      </c>
      <c r="G148" s="40">
        <f>46+24</f>
        <v>70</v>
      </c>
      <c r="H148" s="41">
        <v>0</v>
      </c>
      <c r="I148" s="42">
        <f t="shared" si="23"/>
        <v>0</v>
      </c>
      <c r="J148" s="41">
        <v>0</v>
      </c>
      <c r="K148" s="42">
        <f t="shared" si="24"/>
        <v>0</v>
      </c>
      <c r="L148" s="62">
        <v>0</v>
      </c>
      <c r="M148" s="42">
        <f t="shared" si="25"/>
        <v>0</v>
      </c>
      <c r="N148" s="41">
        <v>0</v>
      </c>
      <c r="O148" s="43">
        <f t="shared" si="26"/>
        <v>0</v>
      </c>
      <c r="P148" s="44">
        <f t="shared" si="21"/>
        <v>0</v>
      </c>
      <c r="Q148" s="42">
        <f t="shared" si="27"/>
        <v>0</v>
      </c>
      <c r="R148" s="93">
        <f t="shared" si="22"/>
        <v>0</v>
      </c>
      <c r="S148" s="45">
        <f t="shared" si="28"/>
        <v>0</v>
      </c>
    </row>
    <row r="149" spans="1:19" ht="12.75">
      <c r="A149" s="47">
        <v>116</v>
      </c>
      <c r="B149" s="74" t="s">
        <v>132</v>
      </c>
      <c r="C149" s="76">
        <v>64.50063211125158</v>
      </c>
      <c r="D149" s="38">
        <v>219</v>
      </c>
      <c r="E149" s="39">
        <v>84</v>
      </c>
      <c r="F149" s="42">
        <f t="shared" si="18"/>
        <v>38.35616438356164</v>
      </c>
      <c r="G149" s="40">
        <f>46+37</f>
        <v>83</v>
      </c>
      <c r="H149" s="41">
        <v>2</v>
      </c>
      <c r="I149" s="42">
        <f t="shared" si="23"/>
        <v>2.4096385542168677</v>
      </c>
      <c r="J149" s="41">
        <v>0</v>
      </c>
      <c r="K149" s="42">
        <f t="shared" si="24"/>
        <v>0</v>
      </c>
      <c r="L149" s="62">
        <v>0</v>
      </c>
      <c r="M149" s="42">
        <v>0</v>
      </c>
      <c r="N149" s="41">
        <v>0</v>
      </c>
      <c r="O149" s="43">
        <f t="shared" si="26"/>
        <v>0</v>
      </c>
      <c r="P149" s="44">
        <f t="shared" si="21"/>
        <v>2</v>
      </c>
      <c r="Q149" s="42">
        <f t="shared" si="27"/>
        <v>2.4096385542168677</v>
      </c>
      <c r="R149" s="93">
        <f t="shared" si="22"/>
        <v>0</v>
      </c>
      <c r="S149" s="45">
        <f t="shared" si="28"/>
        <v>0</v>
      </c>
    </row>
    <row r="150" spans="1:19" ht="12.75">
      <c r="A150" s="47">
        <v>117</v>
      </c>
      <c r="B150" s="74" t="s">
        <v>133</v>
      </c>
      <c r="C150" s="76">
        <v>37.394685677252106</v>
      </c>
      <c r="D150" s="38">
        <v>228</v>
      </c>
      <c r="E150" s="39">
        <v>79</v>
      </c>
      <c r="F150" s="42">
        <f t="shared" si="18"/>
        <v>34.64912280701755</v>
      </c>
      <c r="G150" s="40">
        <f>40+39</f>
        <v>79</v>
      </c>
      <c r="H150" s="41">
        <v>0</v>
      </c>
      <c r="I150" s="42">
        <f t="shared" si="23"/>
        <v>0</v>
      </c>
      <c r="J150" s="52">
        <v>0</v>
      </c>
      <c r="K150" s="42">
        <f t="shared" si="24"/>
        <v>0</v>
      </c>
      <c r="L150" s="62">
        <v>0</v>
      </c>
      <c r="M150" s="42">
        <f t="shared" si="25"/>
        <v>0</v>
      </c>
      <c r="N150" s="41">
        <v>0</v>
      </c>
      <c r="O150" s="43">
        <f t="shared" si="26"/>
        <v>0</v>
      </c>
      <c r="P150" s="44">
        <f t="shared" si="21"/>
        <v>0</v>
      </c>
      <c r="Q150" s="42">
        <f t="shared" si="27"/>
        <v>0</v>
      </c>
      <c r="R150" s="93">
        <f t="shared" si="22"/>
        <v>0</v>
      </c>
      <c r="S150" s="45">
        <f t="shared" si="28"/>
        <v>0</v>
      </c>
    </row>
    <row r="151" spans="1:19" ht="12.75">
      <c r="A151" s="47">
        <v>118</v>
      </c>
      <c r="B151" s="74" t="s">
        <v>134</v>
      </c>
      <c r="C151" s="76">
        <v>32.533513574405774</v>
      </c>
      <c r="D151" s="38">
        <v>741</v>
      </c>
      <c r="E151" s="39">
        <f>165+80</f>
        <v>245</v>
      </c>
      <c r="F151" s="42">
        <f t="shared" si="18"/>
        <v>33.063427800269906</v>
      </c>
      <c r="G151" s="40">
        <f>164+80</f>
        <v>244</v>
      </c>
      <c r="H151" s="41">
        <v>1</v>
      </c>
      <c r="I151" s="42">
        <f t="shared" si="23"/>
        <v>0.4098360655737705</v>
      </c>
      <c r="J151" s="41">
        <v>0</v>
      </c>
      <c r="K151" s="42">
        <f t="shared" si="24"/>
        <v>0</v>
      </c>
      <c r="L151" s="62">
        <v>0</v>
      </c>
      <c r="M151" s="42">
        <f t="shared" si="25"/>
        <v>0</v>
      </c>
      <c r="N151" s="41">
        <v>0</v>
      </c>
      <c r="O151" s="43">
        <f t="shared" si="26"/>
        <v>0</v>
      </c>
      <c r="P151" s="44">
        <f t="shared" si="21"/>
        <v>1</v>
      </c>
      <c r="Q151" s="42">
        <f t="shared" si="27"/>
        <v>0.4098360655737705</v>
      </c>
      <c r="R151" s="93">
        <f t="shared" si="22"/>
        <v>0</v>
      </c>
      <c r="S151" s="45">
        <f t="shared" si="28"/>
        <v>0</v>
      </c>
    </row>
    <row r="152" spans="1:19" ht="12.75">
      <c r="A152" s="47">
        <v>119</v>
      </c>
      <c r="B152" s="74" t="s">
        <v>135</v>
      </c>
      <c r="C152" s="76">
        <v>22.461035696329816</v>
      </c>
      <c r="D152" s="38">
        <v>372</v>
      </c>
      <c r="E152" s="39">
        <v>34</v>
      </c>
      <c r="F152" s="42">
        <f t="shared" si="18"/>
        <v>9.13978494623656</v>
      </c>
      <c r="G152" s="40">
        <f>19+18</f>
        <v>37</v>
      </c>
      <c r="H152" s="41">
        <v>0</v>
      </c>
      <c r="I152" s="42">
        <f t="shared" si="23"/>
        <v>0</v>
      </c>
      <c r="J152" s="66">
        <v>0</v>
      </c>
      <c r="K152" s="42">
        <f t="shared" si="24"/>
        <v>0</v>
      </c>
      <c r="L152" s="62">
        <v>0</v>
      </c>
      <c r="M152" s="42">
        <v>0</v>
      </c>
      <c r="N152" s="41">
        <v>0</v>
      </c>
      <c r="O152" s="43">
        <f t="shared" si="26"/>
        <v>0</v>
      </c>
      <c r="P152" s="44">
        <f t="shared" si="21"/>
        <v>0</v>
      </c>
      <c r="Q152" s="42">
        <f t="shared" si="27"/>
        <v>0</v>
      </c>
      <c r="R152" s="93">
        <f t="shared" si="22"/>
        <v>0</v>
      </c>
      <c r="S152" s="45">
        <f t="shared" si="28"/>
        <v>0</v>
      </c>
    </row>
    <row r="153" spans="1:19" ht="12.75">
      <c r="A153" s="47">
        <v>120</v>
      </c>
      <c r="B153" s="74" t="s">
        <v>136</v>
      </c>
      <c r="C153" s="76">
        <v>43.02554027504912</v>
      </c>
      <c r="D153" s="38">
        <v>45</v>
      </c>
      <c r="E153" s="39">
        <v>17</v>
      </c>
      <c r="F153" s="42">
        <f t="shared" si="18"/>
        <v>37.77777777777778</v>
      </c>
      <c r="G153" s="40">
        <f>11+5</f>
        <v>16</v>
      </c>
      <c r="H153" s="41">
        <v>0</v>
      </c>
      <c r="I153" s="42">
        <f t="shared" si="23"/>
        <v>0</v>
      </c>
      <c r="J153" s="41">
        <v>0</v>
      </c>
      <c r="K153" s="42">
        <f t="shared" si="24"/>
        <v>0</v>
      </c>
      <c r="L153" s="62">
        <v>0</v>
      </c>
      <c r="M153" s="42">
        <f t="shared" si="25"/>
        <v>0</v>
      </c>
      <c r="N153" s="41">
        <v>0</v>
      </c>
      <c r="O153" s="43">
        <f t="shared" si="26"/>
        <v>0</v>
      </c>
      <c r="P153" s="44">
        <f t="shared" si="21"/>
        <v>0</v>
      </c>
      <c r="Q153" s="42">
        <f t="shared" si="27"/>
        <v>0</v>
      </c>
      <c r="R153" s="93">
        <f t="shared" si="22"/>
        <v>0</v>
      </c>
      <c r="S153" s="45">
        <f t="shared" si="28"/>
        <v>0</v>
      </c>
    </row>
    <row r="154" spans="1:19" ht="12.75">
      <c r="A154" s="47">
        <v>121</v>
      </c>
      <c r="B154" s="74" t="s">
        <v>137</v>
      </c>
      <c r="C154" s="76">
        <v>14.501510574018129</v>
      </c>
      <c r="D154" s="38">
        <v>92</v>
      </c>
      <c r="E154" s="39">
        <v>41</v>
      </c>
      <c r="F154" s="42">
        <f t="shared" si="18"/>
        <v>44.565217391304344</v>
      </c>
      <c r="G154" s="40">
        <f>28+15</f>
        <v>43</v>
      </c>
      <c r="H154" s="41">
        <v>0</v>
      </c>
      <c r="I154" s="42">
        <f t="shared" si="23"/>
        <v>0</v>
      </c>
      <c r="J154" s="41">
        <v>1</v>
      </c>
      <c r="K154" s="42">
        <f t="shared" si="24"/>
        <v>2.3255813953488373</v>
      </c>
      <c r="L154" s="62">
        <v>0</v>
      </c>
      <c r="M154" s="42">
        <f t="shared" si="25"/>
        <v>0</v>
      </c>
      <c r="N154" s="41">
        <v>0</v>
      </c>
      <c r="O154" s="43">
        <f t="shared" si="26"/>
        <v>0</v>
      </c>
      <c r="P154" s="44">
        <f t="shared" si="21"/>
        <v>1</v>
      </c>
      <c r="Q154" s="42">
        <f t="shared" si="27"/>
        <v>2.3255813953488373</v>
      </c>
      <c r="R154" s="93">
        <f t="shared" si="22"/>
        <v>0</v>
      </c>
      <c r="S154" s="45">
        <f t="shared" si="28"/>
        <v>0</v>
      </c>
    </row>
    <row r="155" spans="1:19" ht="12.75">
      <c r="A155" s="47">
        <v>122</v>
      </c>
      <c r="B155" s="74" t="s">
        <v>138</v>
      </c>
      <c r="C155" s="76">
        <v>58.17427385892117</v>
      </c>
      <c r="D155" s="38">
        <v>58</v>
      </c>
      <c r="E155" s="39">
        <v>13</v>
      </c>
      <c r="F155" s="42">
        <f t="shared" si="18"/>
        <v>22.413793103448278</v>
      </c>
      <c r="G155" s="40">
        <v>13</v>
      </c>
      <c r="H155" s="41">
        <v>0</v>
      </c>
      <c r="I155" s="42">
        <f t="shared" si="23"/>
        <v>0</v>
      </c>
      <c r="J155" s="41">
        <v>0</v>
      </c>
      <c r="K155" s="42">
        <f t="shared" si="24"/>
        <v>0</v>
      </c>
      <c r="L155" s="62">
        <v>0</v>
      </c>
      <c r="M155" s="42">
        <f t="shared" si="25"/>
        <v>0</v>
      </c>
      <c r="N155" s="41">
        <v>0</v>
      </c>
      <c r="O155" s="43">
        <f t="shared" si="26"/>
        <v>0</v>
      </c>
      <c r="P155" s="44">
        <f t="shared" si="21"/>
        <v>0</v>
      </c>
      <c r="Q155" s="42">
        <f t="shared" si="27"/>
        <v>0</v>
      </c>
      <c r="R155" s="93">
        <f t="shared" si="22"/>
        <v>0</v>
      </c>
      <c r="S155" s="45">
        <f t="shared" si="28"/>
        <v>0</v>
      </c>
    </row>
    <row r="156" spans="1:19" ht="12.75">
      <c r="A156" s="47">
        <v>123</v>
      </c>
      <c r="B156" s="74" t="s">
        <v>139</v>
      </c>
      <c r="C156" s="76">
        <v>35.52859618717504</v>
      </c>
      <c r="D156" s="38">
        <v>50</v>
      </c>
      <c r="E156" s="39">
        <v>1</v>
      </c>
      <c r="F156" s="42">
        <f t="shared" si="18"/>
        <v>2</v>
      </c>
      <c r="G156" s="40">
        <v>0</v>
      </c>
      <c r="H156" s="41">
        <v>0</v>
      </c>
      <c r="I156" s="42">
        <v>0</v>
      </c>
      <c r="J156" s="41">
        <v>0</v>
      </c>
      <c r="K156" s="42">
        <v>0</v>
      </c>
      <c r="L156" s="62">
        <v>0</v>
      </c>
      <c r="M156" s="42">
        <v>0</v>
      </c>
      <c r="N156" s="41">
        <v>0</v>
      </c>
      <c r="O156" s="43">
        <v>0</v>
      </c>
      <c r="P156" s="44">
        <f t="shared" si="21"/>
        <v>0</v>
      </c>
      <c r="Q156" s="42">
        <v>0</v>
      </c>
      <c r="R156" s="93">
        <f t="shared" si="22"/>
        <v>0</v>
      </c>
      <c r="S156" s="45">
        <v>0</v>
      </c>
    </row>
    <row r="157" spans="1:19" ht="12.75">
      <c r="A157" s="47">
        <v>124</v>
      </c>
      <c r="B157" s="74" t="s">
        <v>140</v>
      </c>
      <c r="C157" s="76">
        <v>45.752045311516675</v>
      </c>
      <c r="D157" s="38">
        <v>358</v>
      </c>
      <c r="E157" s="39">
        <v>128</v>
      </c>
      <c r="F157" s="42">
        <f t="shared" si="18"/>
        <v>35.754189944134076</v>
      </c>
      <c r="G157" s="40">
        <f>59+64</f>
        <v>123</v>
      </c>
      <c r="H157" s="41">
        <v>0</v>
      </c>
      <c r="I157" s="42">
        <f t="shared" si="23"/>
        <v>0</v>
      </c>
      <c r="J157" s="41">
        <v>0</v>
      </c>
      <c r="K157" s="42">
        <f t="shared" si="24"/>
        <v>0</v>
      </c>
      <c r="L157" s="62">
        <v>0</v>
      </c>
      <c r="M157" s="42">
        <f t="shared" si="25"/>
        <v>0</v>
      </c>
      <c r="N157" s="41">
        <v>0</v>
      </c>
      <c r="O157" s="43">
        <f t="shared" si="26"/>
        <v>0</v>
      </c>
      <c r="P157" s="44">
        <f t="shared" si="21"/>
        <v>0</v>
      </c>
      <c r="Q157" s="42">
        <f t="shared" si="27"/>
        <v>0</v>
      </c>
      <c r="R157" s="93">
        <f t="shared" si="22"/>
        <v>0</v>
      </c>
      <c r="S157" s="45">
        <f t="shared" si="28"/>
        <v>0</v>
      </c>
    </row>
    <row r="158" spans="1:19" ht="12.75">
      <c r="A158" s="47">
        <v>125</v>
      </c>
      <c r="B158" s="74" t="s">
        <v>141</v>
      </c>
      <c r="C158" s="76">
        <v>57.82312925170068</v>
      </c>
      <c r="D158" s="38">
        <v>49</v>
      </c>
      <c r="E158" s="39">
        <v>15</v>
      </c>
      <c r="F158" s="42">
        <f t="shared" si="18"/>
        <v>30.612244897959183</v>
      </c>
      <c r="G158" s="40">
        <f>14+1</f>
        <v>15</v>
      </c>
      <c r="H158" s="41">
        <v>0</v>
      </c>
      <c r="I158" s="42">
        <f t="shared" si="23"/>
        <v>0</v>
      </c>
      <c r="J158" s="41">
        <v>0</v>
      </c>
      <c r="K158" s="42">
        <f t="shared" si="24"/>
        <v>0</v>
      </c>
      <c r="L158" s="62">
        <v>0</v>
      </c>
      <c r="M158" s="42">
        <f t="shared" si="25"/>
        <v>0</v>
      </c>
      <c r="N158" s="41">
        <v>0</v>
      </c>
      <c r="O158" s="43">
        <f t="shared" si="26"/>
        <v>0</v>
      </c>
      <c r="P158" s="44">
        <f t="shared" si="21"/>
        <v>0</v>
      </c>
      <c r="Q158" s="42">
        <f t="shared" si="27"/>
        <v>0</v>
      </c>
      <c r="R158" s="93">
        <f t="shared" si="22"/>
        <v>0</v>
      </c>
      <c r="S158" s="45">
        <f t="shared" si="28"/>
        <v>0</v>
      </c>
    </row>
    <row r="159" spans="1:19" ht="12.75">
      <c r="A159" s="47">
        <v>126</v>
      </c>
      <c r="B159" s="74" t="s">
        <v>142</v>
      </c>
      <c r="C159" s="76">
        <v>31.794383626844358</v>
      </c>
      <c r="D159" s="38">
        <v>955</v>
      </c>
      <c r="E159" s="39">
        <f>234+190</f>
        <v>424</v>
      </c>
      <c r="F159" s="42">
        <f t="shared" si="18"/>
        <v>44.397905759162306</v>
      </c>
      <c r="G159" s="40">
        <f>226+196</f>
        <v>422</v>
      </c>
      <c r="H159" s="41">
        <v>4</v>
      </c>
      <c r="I159" s="42">
        <f t="shared" si="23"/>
        <v>0.9478672985781991</v>
      </c>
      <c r="J159" s="41">
        <v>2</v>
      </c>
      <c r="K159" s="42">
        <f t="shared" si="24"/>
        <v>0.47393364928909953</v>
      </c>
      <c r="L159" s="62">
        <v>1</v>
      </c>
      <c r="M159" s="42">
        <f t="shared" si="25"/>
        <v>0.23696682464454977</v>
      </c>
      <c r="N159" s="41">
        <v>0</v>
      </c>
      <c r="O159" s="43">
        <f t="shared" si="26"/>
        <v>0</v>
      </c>
      <c r="P159" s="44">
        <f t="shared" si="21"/>
        <v>7</v>
      </c>
      <c r="Q159" s="42">
        <f t="shared" si="27"/>
        <v>1.6587677725118484</v>
      </c>
      <c r="R159" s="93">
        <f t="shared" si="22"/>
        <v>1</v>
      </c>
      <c r="S159" s="45">
        <f t="shared" si="28"/>
        <v>0.23696682464454977</v>
      </c>
    </row>
    <row r="160" spans="1:19" ht="12.75">
      <c r="A160" s="47">
        <v>127</v>
      </c>
      <c r="B160" s="74" t="s">
        <v>143</v>
      </c>
      <c r="C160" s="76">
        <v>31.818181818181817</v>
      </c>
      <c r="D160" s="38">
        <v>90</v>
      </c>
      <c r="E160" s="39">
        <v>25</v>
      </c>
      <c r="F160" s="42">
        <f t="shared" si="18"/>
        <v>27.77777777777778</v>
      </c>
      <c r="G160" s="40">
        <v>25</v>
      </c>
      <c r="H160" s="41">
        <v>0</v>
      </c>
      <c r="I160" s="42">
        <f t="shared" si="23"/>
        <v>0</v>
      </c>
      <c r="J160" s="41">
        <v>0</v>
      </c>
      <c r="K160" s="42">
        <f t="shared" si="24"/>
        <v>0</v>
      </c>
      <c r="L160" s="62">
        <v>0</v>
      </c>
      <c r="M160" s="42">
        <f t="shared" si="25"/>
        <v>0</v>
      </c>
      <c r="N160" s="41">
        <v>0</v>
      </c>
      <c r="O160" s="43">
        <f t="shared" si="26"/>
        <v>0</v>
      </c>
      <c r="P160" s="44">
        <f t="shared" si="21"/>
        <v>0</v>
      </c>
      <c r="Q160" s="42">
        <f t="shared" si="27"/>
        <v>0</v>
      </c>
      <c r="R160" s="93">
        <f t="shared" si="22"/>
        <v>0</v>
      </c>
      <c r="S160" s="45">
        <f t="shared" si="28"/>
        <v>0</v>
      </c>
    </row>
    <row r="161" spans="1:19" ht="12.75">
      <c r="A161" s="47">
        <v>128</v>
      </c>
      <c r="B161" s="74" t="s">
        <v>144</v>
      </c>
      <c r="C161" s="76">
        <v>29.190982949994275</v>
      </c>
      <c r="D161" s="38">
        <v>647</v>
      </c>
      <c r="E161" s="39">
        <f>93+44</f>
        <v>137</v>
      </c>
      <c r="F161" s="42">
        <f t="shared" si="18"/>
        <v>21.174652241112828</v>
      </c>
      <c r="G161" s="40">
        <f>93+45</f>
        <v>138</v>
      </c>
      <c r="H161" s="41">
        <v>0</v>
      </c>
      <c r="I161" s="42">
        <f t="shared" si="23"/>
        <v>0</v>
      </c>
      <c r="J161" s="41">
        <v>0</v>
      </c>
      <c r="K161" s="42">
        <f t="shared" si="24"/>
        <v>0</v>
      </c>
      <c r="L161" s="62">
        <v>1</v>
      </c>
      <c r="M161" s="42">
        <f t="shared" si="25"/>
        <v>0.7246376811594203</v>
      </c>
      <c r="N161" s="41">
        <v>0</v>
      </c>
      <c r="O161" s="43">
        <f t="shared" si="26"/>
        <v>0</v>
      </c>
      <c r="P161" s="44">
        <f t="shared" si="21"/>
        <v>1</v>
      </c>
      <c r="Q161" s="42">
        <f t="shared" si="27"/>
        <v>0.7246376811594203</v>
      </c>
      <c r="R161" s="93">
        <f t="shared" si="22"/>
        <v>1</v>
      </c>
      <c r="S161" s="45">
        <f t="shared" si="28"/>
        <v>0.7246376811594203</v>
      </c>
    </row>
    <row r="162" spans="1:19" ht="12.75">
      <c r="A162" s="47">
        <v>129</v>
      </c>
      <c r="B162" s="74" t="s">
        <v>145</v>
      </c>
      <c r="C162" s="76">
        <v>32.27091633466135</v>
      </c>
      <c r="D162" s="38">
        <v>159</v>
      </c>
      <c r="E162" s="39">
        <f>15+19</f>
        <v>34</v>
      </c>
      <c r="F162" s="42">
        <f t="shared" si="18"/>
        <v>21.38364779874214</v>
      </c>
      <c r="G162" s="40">
        <f>15+19</f>
        <v>34</v>
      </c>
      <c r="H162" s="41">
        <v>0</v>
      </c>
      <c r="I162" s="42">
        <f t="shared" si="23"/>
        <v>0</v>
      </c>
      <c r="J162" s="41">
        <v>0</v>
      </c>
      <c r="K162" s="42">
        <f t="shared" si="24"/>
        <v>0</v>
      </c>
      <c r="L162" s="62">
        <v>0</v>
      </c>
      <c r="M162" s="42">
        <f t="shared" si="25"/>
        <v>0</v>
      </c>
      <c r="N162" s="41">
        <v>0</v>
      </c>
      <c r="O162" s="43">
        <f t="shared" si="26"/>
        <v>0</v>
      </c>
      <c r="P162" s="44">
        <f t="shared" si="21"/>
        <v>0</v>
      </c>
      <c r="Q162" s="42">
        <f t="shared" si="27"/>
        <v>0</v>
      </c>
      <c r="R162" s="93">
        <f t="shared" si="22"/>
        <v>0</v>
      </c>
      <c r="S162" s="45">
        <f t="shared" si="28"/>
        <v>0</v>
      </c>
    </row>
    <row r="163" spans="1:19" ht="12.75">
      <c r="A163" s="47">
        <v>130</v>
      </c>
      <c r="B163" s="74" t="s">
        <v>146</v>
      </c>
      <c r="C163" s="76">
        <v>18</v>
      </c>
      <c r="D163" s="38">
        <v>384</v>
      </c>
      <c r="E163" s="39">
        <f>138+70</f>
        <v>208</v>
      </c>
      <c r="F163" s="42">
        <f aca="true" t="shared" si="29" ref="F163:F218">+(E163/$D163)*100</f>
        <v>54.166666666666664</v>
      </c>
      <c r="G163" s="40">
        <f>137+71</f>
        <v>208</v>
      </c>
      <c r="H163" s="41">
        <v>0</v>
      </c>
      <c r="I163" s="42">
        <f t="shared" si="23"/>
        <v>0</v>
      </c>
      <c r="J163" s="41">
        <v>0</v>
      </c>
      <c r="K163" s="42">
        <f t="shared" si="24"/>
        <v>0</v>
      </c>
      <c r="L163" s="62">
        <v>0</v>
      </c>
      <c r="M163" s="42">
        <f t="shared" si="25"/>
        <v>0</v>
      </c>
      <c r="N163" s="41">
        <v>0</v>
      </c>
      <c r="O163" s="43">
        <f t="shared" si="26"/>
        <v>0</v>
      </c>
      <c r="P163" s="44">
        <f t="shared" si="21"/>
        <v>0</v>
      </c>
      <c r="Q163" s="42">
        <f t="shared" si="27"/>
        <v>0</v>
      </c>
      <c r="R163" s="93">
        <f t="shared" si="22"/>
        <v>0</v>
      </c>
      <c r="S163" s="45">
        <f t="shared" si="28"/>
        <v>0</v>
      </c>
    </row>
    <row r="164" spans="1:19" ht="13.5" thickBot="1">
      <c r="A164" s="47">
        <v>131</v>
      </c>
      <c r="B164" s="74" t="s">
        <v>147</v>
      </c>
      <c r="C164" s="76">
        <v>34</v>
      </c>
      <c r="D164" s="38">
        <v>969</v>
      </c>
      <c r="E164" s="39">
        <v>225</v>
      </c>
      <c r="F164" s="42">
        <f t="shared" si="29"/>
        <v>23.219814241486066</v>
      </c>
      <c r="G164" s="40">
        <f>155+71</f>
        <v>226</v>
      </c>
      <c r="H164" s="41">
        <v>1</v>
      </c>
      <c r="I164" s="42">
        <f t="shared" si="23"/>
        <v>0.4424778761061947</v>
      </c>
      <c r="J164" s="41">
        <v>1</v>
      </c>
      <c r="K164" s="42">
        <f t="shared" si="24"/>
        <v>0.4424778761061947</v>
      </c>
      <c r="L164" s="62">
        <v>0</v>
      </c>
      <c r="M164" s="42">
        <f t="shared" si="25"/>
        <v>0</v>
      </c>
      <c r="N164" s="41">
        <v>0</v>
      </c>
      <c r="O164" s="43">
        <f t="shared" si="26"/>
        <v>0</v>
      </c>
      <c r="P164" s="44">
        <f t="shared" si="21"/>
        <v>2</v>
      </c>
      <c r="Q164" s="42">
        <f t="shared" si="27"/>
        <v>0.8849557522123894</v>
      </c>
      <c r="R164" s="93">
        <f t="shared" si="22"/>
        <v>0</v>
      </c>
      <c r="S164" s="45">
        <f t="shared" si="28"/>
        <v>0</v>
      </c>
    </row>
    <row r="165" spans="1:19" ht="13.5" thickTop="1">
      <c r="A165" s="80" t="s">
        <v>196</v>
      </c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81"/>
    </row>
    <row r="166" spans="1:19" ht="12.75">
      <c r="A166" s="3" t="s">
        <v>197</v>
      </c>
      <c r="B166" s="10"/>
      <c r="C166" s="10"/>
      <c r="D166" s="83"/>
      <c r="E166" s="83"/>
      <c r="F166" s="83"/>
      <c r="G166" s="83"/>
      <c r="H166" s="83"/>
      <c r="I166" s="83"/>
      <c r="J166" s="5"/>
      <c r="K166" s="83"/>
      <c r="L166" s="83"/>
      <c r="M166" s="83"/>
      <c r="N166" s="83"/>
      <c r="O166" s="83"/>
      <c r="P166" s="83"/>
      <c r="Q166" s="83"/>
      <c r="R166" s="10"/>
      <c r="S166" s="72"/>
    </row>
    <row r="167" spans="1:19" ht="13.5" thickBot="1">
      <c r="A167" s="31"/>
      <c r="B167" s="4"/>
      <c r="C167" s="4"/>
      <c r="D167" s="5"/>
      <c r="E167" s="5"/>
      <c r="F167" s="5"/>
      <c r="G167" s="5"/>
      <c r="H167" s="5"/>
      <c r="I167" s="5"/>
      <c r="K167" s="5"/>
      <c r="L167" s="5"/>
      <c r="M167" s="5"/>
      <c r="N167" s="5"/>
      <c r="O167" s="4"/>
      <c r="P167" s="4"/>
      <c r="Q167" s="4"/>
      <c r="R167" s="4"/>
      <c r="S167" s="72"/>
    </row>
    <row r="168" spans="1:19" ht="13.5" thickTop="1">
      <c r="A168" s="8"/>
      <c r="B168" s="1"/>
      <c r="C168" s="95"/>
      <c r="D168" s="94" t="s">
        <v>198</v>
      </c>
      <c r="E168" s="1"/>
      <c r="F168" s="6"/>
      <c r="G168" s="94" t="s">
        <v>190</v>
      </c>
      <c r="H168" s="1"/>
      <c r="I168" s="7"/>
      <c r="J168" s="7"/>
      <c r="K168" s="7"/>
      <c r="L168" s="7"/>
      <c r="M168" s="7"/>
      <c r="N168" s="7"/>
      <c r="O168" s="1"/>
      <c r="P168" s="1"/>
      <c r="Q168" s="1"/>
      <c r="R168" s="1"/>
      <c r="S168" s="81"/>
    </row>
    <row r="169" spans="1:19" ht="13.5" thickBot="1">
      <c r="A169" s="8"/>
      <c r="B169" s="4"/>
      <c r="C169" s="77"/>
      <c r="D169" s="13" t="s">
        <v>187</v>
      </c>
      <c r="E169" s="14"/>
      <c r="F169" s="15"/>
      <c r="G169" s="16" t="s">
        <v>200</v>
      </c>
      <c r="H169" s="14"/>
      <c r="I169" s="17"/>
      <c r="J169" s="17"/>
      <c r="K169" s="17"/>
      <c r="L169" s="17"/>
      <c r="M169" s="17"/>
      <c r="N169" s="17"/>
      <c r="O169" s="14"/>
      <c r="P169" s="4"/>
      <c r="Q169" s="4"/>
      <c r="R169" s="4"/>
      <c r="S169" s="72"/>
    </row>
    <row r="170" spans="1:19" s="9" customFormat="1" ht="13.5" thickTop="1">
      <c r="A170" s="12" t="s">
        <v>194</v>
      </c>
      <c r="C170" s="79" t="s">
        <v>189</v>
      </c>
      <c r="D170" s="18" t="s">
        <v>0</v>
      </c>
      <c r="E170" s="19" t="s">
        <v>1</v>
      </c>
      <c r="F170" s="11"/>
      <c r="G170" s="18" t="s">
        <v>2</v>
      </c>
      <c r="H170" s="78" t="s">
        <v>193</v>
      </c>
      <c r="I170" s="21"/>
      <c r="J170" s="67"/>
      <c r="K170" s="21"/>
      <c r="L170" s="71"/>
      <c r="M170" s="21"/>
      <c r="N170" s="21"/>
      <c r="O170" s="22"/>
      <c r="P170" s="101" t="s">
        <v>3</v>
      </c>
      <c r="Q170" s="23"/>
      <c r="R170" s="82"/>
      <c r="S170" s="102"/>
    </row>
    <row r="171" spans="1:19" ht="12.75">
      <c r="A171" s="8"/>
      <c r="B171" s="9"/>
      <c r="C171" s="79" t="s">
        <v>191</v>
      </c>
      <c r="D171" s="18" t="s">
        <v>4</v>
      </c>
      <c r="E171" s="24" t="s">
        <v>5</v>
      </c>
      <c r="F171" s="25"/>
      <c r="G171" s="18" t="s">
        <v>6</v>
      </c>
      <c r="H171" s="20" t="s">
        <v>7</v>
      </c>
      <c r="I171" s="26"/>
      <c r="J171" s="78" t="s">
        <v>192</v>
      </c>
      <c r="K171" s="26"/>
      <c r="L171" s="20" t="s">
        <v>8</v>
      </c>
      <c r="M171" s="26"/>
      <c r="N171" s="20" t="s">
        <v>9</v>
      </c>
      <c r="O171" s="27"/>
      <c r="P171" s="28" t="s">
        <v>10</v>
      </c>
      <c r="Q171" s="4"/>
      <c r="R171" s="29" t="s">
        <v>11</v>
      </c>
      <c r="S171" s="30"/>
    </row>
    <row r="172" spans="1:19" s="92" customFormat="1" ht="13.5" thickBot="1">
      <c r="A172" s="84"/>
      <c r="B172" s="85"/>
      <c r="C172" s="86" t="s">
        <v>195</v>
      </c>
      <c r="D172" s="87" t="s">
        <v>12</v>
      </c>
      <c r="E172" s="88" t="s">
        <v>13</v>
      </c>
      <c r="F172" s="88" t="s">
        <v>14</v>
      </c>
      <c r="G172" s="87" t="s">
        <v>15</v>
      </c>
      <c r="H172" s="88" t="s">
        <v>13</v>
      </c>
      <c r="I172" s="88" t="s">
        <v>14</v>
      </c>
      <c r="J172" s="88" t="s">
        <v>13</v>
      </c>
      <c r="K172" s="88" t="s">
        <v>14</v>
      </c>
      <c r="L172" s="88" t="s">
        <v>13</v>
      </c>
      <c r="M172" s="88" t="s">
        <v>14</v>
      </c>
      <c r="N172" s="88" t="s">
        <v>13</v>
      </c>
      <c r="O172" s="89" t="s">
        <v>14</v>
      </c>
      <c r="P172" s="88" t="s">
        <v>13</v>
      </c>
      <c r="Q172" s="90" t="s">
        <v>14</v>
      </c>
      <c r="R172" s="88" t="s">
        <v>13</v>
      </c>
      <c r="S172" s="91" t="s">
        <v>14</v>
      </c>
    </row>
    <row r="173" spans="1:19" ht="13.5" thickTop="1">
      <c r="A173" s="47">
        <v>132</v>
      </c>
      <c r="B173" s="74" t="s">
        <v>148</v>
      </c>
      <c r="C173" s="76">
        <v>25</v>
      </c>
      <c r="D173" s="38">
        <v>586</v>
      </c>
      <c r="E173" s="39">
        <f>48+27</f>
        <v>75</v>
      </c>
      <c r="F173" s="42">
        <f t="shared" si="29"/>
        <v>12.798634812286688</v>
      </c>
      <c r="G173" s="40">
        <f>49+27</f>
        <v>76</v>
      </c>
      <c r="H173" s="41">
        <v>0</v>
      </c>
      <c r="I173" s="42">
        <f t="shared" si="23"/>
        <v>0</v>
      </c>
      <c r="J173" s="41">
        <v>1</v>
      </c>
      <c r="K173" s="42">
        <f t="shared" si="24"/>
        <v>1.3157894736842104</v>
      </c>
      <c r="L173" s="62">
        <v>0</v>
      </c>
      <c r="M173" s="42">
        <f t="shared" si="25"/>
        <v>0</v>
      </c>
      <c r="N173" s="41">
        <v>0</v>
      </c>
      <c r="O173" s="43">
        <f t="shared" si="26"/>
        <v>0</v>
      </c>
      <c r="P173" s="44">
        <f aca="true" t="shared" si="30" ref="P173:P205">SUM(H173)+J173+L173+N173</f>
        <v>1</v>
      </c>
      <c r="Q173" s="42">
        <f t="shared" si="27"/>
        <v>1.3157894736842104</v>
      </c>
      <c r="R173" s="93">
        <f aca="true" t="shared" si="31" ref="R173:R205">+L173+N173</f>
        <v>0</v>
      </c>
      <c r="S173" s="45">
        <f t="shared" si="28"/>
        <v>0</v>
      </c>
    </row>
    <row r="174" spans="1:19" ht="12.75">
      <c r="A174" s="47">
        <v>133</v>
      </c>
      <c r="B174" s="74" t="s">
        <v>149</v>
      </c>
      <c r="C174" s="76">
        <v>62.45704467353952</v>
      </c>
      <c r="D174" s="38">
        <v>55</v>
      </c>
      <c r="E174" s="39">
        <v>28</v>
      </c>
      <c r="F174" s="42">
        <f t="shared" si="29"/>
        <v>50.90909090909091</v>
      </c>
      <c r="G174" s="40">
        <v>28</v>
      </c>
      <c r="H174" s="41">
        <v>0</v>
      </c>
      <c r="I174" s="42">
        <f t="shared" si="23"/>
        <v>0</v>
      </c>
      <c r="J174" s="41">
        <v>0</v>
      </c>
      <c r="K174" s="42">
        <f t="shared" si="24"/>
        <v>0</v>
      </c>
      <c r="L174" s="62">
        <v>0</v>
      </c>
      <c r="M174" s="42">
        <f t="shared" si="25"/>
        <v>0</v>
      </c>
      <c r="N174" s="41">
        <v>0</v>
      </c>
      <c r="O174" s="43">
        <f t="shared" si="26"/>
        <v>0</v>
      </c>
      <c r="P174" s="44">
        <f t="shared" si="30"/>
        <v>0</v>
      </c>
      <c r="Q174" s="42">
        <f t="shared" si="27"/>
        <v>0</v>
      </c>
      <c r="R174" s="93">
        <f t="shared" si="31"/>
        <v>0</v>
      </c>
      <c r="S174" s="45">
        <f t="shared" si="28"/>
        <v>0</v>
      </c>
    </row>
    <row r="175" spans="1:19" ht="12.75">
      <c r="A175" s="47">
        <v>134</v>
      </c>
      <c r="B175" s="74" t="s">
        <v>150</v>
      </c>
      <c r="C175" s="76">
        <v>50.88975694444444</v>
      </c>
      <c r="D175" s="38">
        <v>255</v>
      </c>
      <c r="E175" s="39">
        <v>52</v>
      </c>
      <c r="F175" s="42">
        <f t="shared" si="29"/>
        <v>20.392156862745097</v>
      </c>
      <c r="G175" s="40">
        <f>26+26</f>
        <v>52</v>
      </c>
      <c r="H175" s="41">
        <v>1</v>
      </c>
      <c r="I175" s="42">
        <f t="shared" si="23"/>
        <v>1.9230769230769231</v>
      </c>
      <c r="J175" s="52">
        <v>2</v>
      </c>
      <c r="K175" s="42">
        <f t="shared" si="24"/>
        <v>3.8461538461538463</v>
      </c>
      <c r="L175" s="62">
        <v>0</v>
      </c>
      <c r="M175" s="42">
        <f t="shared" si="25"/>
        <v>0</v>
      </c>
      <c r="N175" s="41">
        <v>0</v>
      </c>
      <c r="O175" s="43">
        <f t="shared" si="26"/>
        <v>0</v>
      </c>
      <c r="P175" s="44">
        <f t="shared" si="30"/>
        <v>3</v>
      </c>
      <c r="Q175" s="42">
        <f t="shared" si="27"/>
        <v>5.769230769230769</v>
      </c>
      <c r="R175" s="93">
        <f t="shared" si="31"/>
        <v>0</v>
      </c>
      <c r="S175" s="45">
        <f t="shared" si="28"/>
        <v>0</v>
      </c>
    </row>
    <row r="176" spans="1:19" ht="12.75">
      <c r="A176" s="47">
        <v>135</v>
      </c>
      <c r="B176" s="74" t="s">
        <v>151</v>
      </c>
      <c r="C176" s="76">
        <v>44.75347126825454</v>
      </c>
      <c r="D176" s="38">
        <v>3209</v>
      </c>
      <c r="E176" s="39">
        <f>829+704</f>
        <v>1533</v>
      </c>
      <c r="F176" s="42">
        <f t="shared" si="29"/>
        <v>47.77189155500155</v>
      </c>
      <c r="G176" s="40">
        <f>825+708</f>
        <v>1533</v>
      </c>
      <c r="H176" s="41">
        <v>13</v>
      </c>
      <c r="I176" s="42">
        <f t="shared" si="23"/>
        <v>0.8480104370515329</v>
      </c>
      <c r="J176" s="41">
        <v>1</v>
      </c>
      <c r="K176" s="42">
        <f t="shared" si="24"/>
        <v>0.06523157208088715</v>
      </c>
      <c r="L176" s="62">
        <v>5</v>
      </c>
      <c r="M176" s="42">
        <f t="shared" si="25"/>
        <v>0.32615786040443573</v>
      </c>
      <c r="N176" s="41">
        <v>1</v>
      </c>
      <c r="O176" s="43">
        <f t="shared" si="26"/>
        <v>0.06523157208088715</v>
      </c>
      <c r="P176" s="44">
        <f t="shared" si="30"/>
        <v>20</v>
      </c>
      <c r="Q176" s="42">
        <f t="shared" si="27"/>
        <v>1.304631441617743</v>
      </c>
      <c r="R176" s="93">
        <f t="shared" si="31"/>
        <v>6</v>
      </c>
      <c r="S176" s="45">
        <f t="shared" si="28"/>
        <v>0.3913894324853229</v>
      </c>
    </row>
    <row r="177" spans="1:19" ht="15" customHeight="1">
      <c r="A177" s="47">
        <v>136</v>
      </c>
      <c r="B177" s="74" t="s">
        <v>152</v>
      </c>
      <c r="C177" s="76">
        <v>36.127409891031014</v>
      </c>
      <c r="D177" s="38">
        <v>87</v>
      </c>
      <c r="E177" s="39">
        <v>36</v>
      </c>
      <c r="F177" s="42">
        <f t="shared" si="29"/>
        <v>41.37931034482759</v>
      </c>
      <c r="G177" s="40">
        <f>17+20</f>
        <v>37</v>
      </c>
      <c r="H177" s="41">
        <v>0</v>
      </c>
      <c r="I177" s="42">
        <f t="shared" si="23"/>
        <v>0</v>
      </c>
      <c r="J177" s="66">
        <v>0</v>
      </c>
      <c r="K177" s="42">
        <f t="shared" si="24"/>
        <v>0</v>
      </c>
      <c r="L177" s="62">
        <v>0</v>
      </c>
      <c r="M177" s="42">
        <f t="shared" si="25"/>
        <v>0</v>
      </c>
      <c r="N177" s="41">
        <v>0</v>
      </c>
      <c r="O177" s="43">
        <f t="shared" si="26"/>
        <v>0</v>
      </c>
      <c r="P177" s="44">
        <f t="shared" si="30"/>
        <v>0</v>
      </c>
      <c r="Q177" s="42">
        <f t="shared" si="27"/>
        <v>0</v>
      </c>
      <c r="R177" s="93">
        <f t="shared" si="31"/>
        <v>0</v>
      </c>
      <c r="S177" s="45">
        <f t="shared" si="28"/>
        <v>0</v>
      </c>
    </row>
    <row r="178" spans="1:19" ht="12.75">
      <c r="A178" s="47">
        <v>137</v>
      </c>
      <c r="B178" s="74" t="s">
        <v>153</v>
      </c>
      <c r="C178" s="76">
        <v>54.32429286462577</v>
      </c>
      <c r="D178" s="38">
        <v>366</v>
      </c>
      <c r="E178" s="39">
        <v>123</v>
      </c>
      <c r="F178" s="42">
        <f t="shared" si="29"/>
        <v>33.60655737704918</v>
      </c>
      <c r="G178" s="40">
        <f>103+19</f>
        <v>122</v>
      </c>
      <c r="H178" s="41">
        <v>5</v>
      </c>
      <c r="I178" s="42">
        <f t="shared" si="23"/>
        <v>4.098360655737705</v>
      </c>
      <c r="J178" s="41">
        <v>0</v>
      </c>
      <c r="K178" s="42">
        <f t="shared" si="24"/>
        <v>0</v>
      </c>
      <c r="L178" s="62">
        <v>0</v>
      </c>
      <c r="M178" s="42">
        <f t="shared" si="25"/>
        <v>0</v>
      </c>
      <c r="N178" s="41">
        <v>0</v>
      </c>
      <c r="O178" s="43">
        <f t="shared" si="26"/>
        <v>0</v>
      </c>
      <c r="P178" s="44">
        <f t="shared" si="30"/>
        <v>5</v>
      </c>
      <c r="Q178" s="42">
        <f t="shared" si="27"/>
        <v>4.098360655737705</v>
      </c>
      <c r="R178" s="93">
        <f t="shared" si="31"/>
        <v>0</v>
      </c>
      <c r="S178" s="45">
        <f t="shared" si="28"/>
        <v>0</v>
      </c>
    </row>
    <row r="179" spans="1:19" ht="12.75">
      <c r="A179" s="47">
        <v>138</v>
      </c>
      <c r="B179" s="74" t="s">
        <v>154</v>
      </c>
      <c r="C179" s="76">
        <v>61.54107593707516</v>
      </c>
      <c r="D179" s="38">
        <v>1140</v>
      </c>
      <c r="E179" s="39">
        <f>287+282</f>
        <v>569</v>
      </c>
      <c r="F179" s="42">
        <f t="shared" si="29"/>
        <v>49.91228070175438</v>
      </c>
      <c r="G179" s="40">
        <f>287+280</f>
        <v>567</v>
      </c>
      <c r="H179" s="41">
        <v>4</v>
      </c>
      <c r="I179" s="42">
        <f t="shared" si="23"/>
        <v>0.7054673721340388</v>
      </c>
      <c r="J179" s="41">
        <v>2</v>
      </c>
      <c r="K179" s="42">
        <f t="shared" si="24"/>
        <v>0.3527336860670194</v>
      </c>
      <c r="L179" s="62">
        <v>0</v>
      </c>
      <c r="M179" s="42">
        <f t="shared" si="25"/>
        <v>0</v>
      </c>
      <c r="N179" s="41">
        <v>1</v>
      </c>
      <c r="O179" s="43">
        <f t="shared" si="26"/>
        <v>0.1763668430335097</v>
      </c>
      <c r="P179" s="44">
        <f t="shared" si="30"/>
        <v>7</v>
      </c>
      <c r="Q179" s="42">
        <f t="shared" si="27"/>
        <v>1.2345679012345678</v>
      </c>
      <c r="R179" s="93">
        <f t="shared" si="31"/>
        <v>1</v>
      </c>
      <c r="S179" s="45">
        <f t="shared" si="28"/>
        <v>0.1763668430335097</v>
      </c>
    </row>
    <row r="180" spans="1:19" ht="12.75">
      <c r="A180" s="47">
        <v>139</v>
      </c>
      <c r="B180" s="74" t="s">
        <v>155</v>
      </c>
      <c r="C180" s="76">
        <v>40.7376880280239</v>
      </c>
      <c r="D180" s="38">
        <v>276</v>
      </c>
      <c r="E180" s="39">
        <f>45+27</f>
        <v>72</v>
      </c>
      <c r="F180" s="42">
        <f t="shared" si="29"/>
        <v>26.08695652173913</v>
      </c>
      <c r="G180" s="40">
        <f>43+26</f>
        <v>69</v>
      </c>
      <c r="H180" s="41">
        <v>0</v>
      </c>
      <c r="I180" s="42">
        <f t="shared" si="23"/>
        <v>0</v>
      </c>
      <c r="J180" s="41">
        <v>0</v>
      </c>
      <c r="K180" s="42">
        <f t="shared" si="24"/>
        <v>0</v>
      </c>
      <c r="L180" s="62">
        <v>0</v>
      </c>
      <c r="M180" s="42">
        <f t="shared" si="25"/>
        <v>0</v>
      </c>
      <c r="N180" s="41">
        <v>0</v>
      </c>
      <c r="O180" s="43">
        <f t="shared" si="26"/>
        <v>0</v>
      </c>
      <c r="P180" s="44">
        <f t="shared" si="30"/>
        <v>0</v>
      </c>
      <c r="Q180" s="42">
        <f t="shared" si="27"/>
        <v>0</v>
      </c>
      <c r="R180" s="93">
        <f t="shared" si="31"/>
        <v>0</v>
      </c>
      <c r="S180" s="45">
        <f t="shared" si="28"/>
        <v>0</v>
      </c>
    </row>
    <row r="181" spans="1:19" ht="12.75">
      <c r="A181" s="47">
        <v>140</v>
      </c>
      <c r="B181" s="74" t="s">
        <v>156</v>
      </c>
      <c r="C181" s="76">
        <v>49.20371599203716</v>
      </c>
      <c r="D181" s="38">
        <v>177</v>
      </c>
      <c r="E181" s="39">
        <f>42+11</f>
        <v>53</v>
      </c>
      <c r="F181" s="42">
        <f t="shared" si="29"/>
        <v>29.943502824858758</v>
      </c>
      <c r="G181" s="40">
        <f>41+12</f>
        <v>53</v>
      </c>
      <c r="H181" s="41">
        <v>2</v>
      </c>
      <c r="I181" s="42">
        <f t="shared" si="23"/>
        <v>3.7735849056603774</v>
      </c>
      <c r="J181" s="41">
        <v>0</v>
      </c>
      <c r="K181" s="42">
        <f t="shared" si="24"/>
        <v>0</v>
      </c>
      <c r="L181" s="62">
        <v>0</v>
      </c>
      <c r="M181" s="42">
        <f t="shared" si="25"/>
        <v>0</v>
      </c>
      <c r="N181" s="41">
        <v>0</v>
      </c>
      <c r="O181" s="43">
        <f t="shared" si="26"/>
        <v>0</v>
      </c>
      <c r="P181" s="44">
        <f t="shared" si="30"/>
        <v>2</v>
      </c>
      <c r="Q181" s="42">
        <f t="shared" si="27"/>
        <v>3.7735849056603774</v>
      </c>
      <c r="R181" s="93">
        <f t="shared" si="31"/>
        <v>0</v>
      </c>
      <c r="S181" s="45">
        <f t="shared" si="28"/>
        <v>0</v>
      </c>
    </row>
    <row r="182" spans="1:19" ht="12.75">
      <c r="A182" s="47">
        <v>141</v>
      </c>
      <c r="B182" s="74" t="s">
        <v>157</v>
      </c>
      <c r="C182" s="76">
        <v>49.83827493261456</v>
      </c>
      <c r="D182" s="38">
        <v>191</v>
      </c>
      <c r="E182" s="39">
        <f>27+17</f>
        <v>44</v>
      </c>
      <c r="F182" s="42">
        <f t="shared" si="29"/>
        <v>23.036649214659686</v>
      </c>
      <c r="G182" s="40">
        <f>26+17</f>
        <v>43</v>
      </c>
      <c r="H182" s="41">
        <v>1</v>
      </c>
      <c r="I182" s="42">
        <f t="shared" si="23"/>
        <v>2.3255813953488373</v>
      </c>
      <c r="J182" s="41">
        <v>0</v>
      </c>
      <c r="K182" s="42">
        <f t="shared" si="24"/>
        <v>0</v>
      </c>
      <c r="L182" s="62">
        <v>0</v>
      </c>
      <c r="M182" s="42">
        <f t="shared" si="25"/>
        <v>0</v>
      </c>
      <c r="N182" s="41">
        <v>0</v>
      </c>
      <c r="O182" s="43">
        <f t="shared" si="26"/>
        <v>0</v>
      </c>
      <c r="P182" s="44">
        <f t="shared" si="30"/>
        <v>1</v>
      </c>
      <c r="Q182" s="42">
        <f t="shared" si="27"/>
        <v>2.3255813953488373</v>
      </c>
      <c r="R182" s="93">
        <f t="shared" si="31"/>
        <v>0</v>
      </c>
      <c r="S182" s="45">
        <f t="shared" si="28"/>
        <v>0</v>
      </c>
    </row>
    <row r="183" spans="1:19" ht="12.75">
      <c r="A183" s="47">
        <v>142</v>
      </c>
      <c r="B183" s="74" t="s">
        <v>158</v>
      </c>
      <c r="C183" s="76">
        <v>17.942122186495176</v>
      </c>
      <c r="D183" s="38">
        <v>396</v>
      </c>
      <c r="E183" s="39">
        <f>43+29</f>
        <v>72</v>
      </c>
      <c r="F183" s="42">
        <f t="shared" si="29"/>
        <v>18.181818181818183</v>
      </c>
      <c r="G183" s="40">
        <f>43+28</f>
        <v>71</v>
      </c>
      <c r="H183" s="41">
        <v>1</v>
      </c>
      <c r="I183" s="42">
        <f t="shared" si="23"/>
        <v>1.4084507042253522</v>
      </c>
      <c r="J183" s="41">
        <v>0</v>
      </c>
      <c r="K183" s="42">
        <f t="shared" si="24"/>
        <v>0</v>
      </c>
      <c r="L183" s="62">
        <v>0</v>
      </c>
      <c r="M183" s="42">
        <f t="shared" si="25"/>
        <v>0</v>
      </c>
      <c r="N183" s="41">
        <v>0</v>
      </c>
      <c r="O183" s="43">
        <f t="shared" si="26"/>
        <v>0</v>
      </c>
      <c r="P183" s="44">
        <f t="shared" si="30"/>
        <v>1</v>
      </c>
      <c r="Q183" s="42">
        <f t="shared" si="27"/>
        <v>1.4084507042253522</v>
      </c>
      <c r="R183" s="93">
        <f t="shared" si="31"/>
        <v>0</v>
      </c>
      <c r="S183" s="45">
        <f t="shared" si="28"/>
        <v>0</v>
      </c>
    </row>
    <row r="184" spans="1:19" ht="12.75">
      <c r="A184" s="47">
        <v>143</v>
      </c>
      <c r="B184" s="74" t="s">
        <v>159</v>
      </c>
      <c r="C184" s="76">
        <v>56.988914349414756</v>
      </c>
      <c r="D184" s="38">
        <v>843</v>
      </c>
      <c r="E184" s="39">
        <f>29+25</f>
        <v>54</v>
      </c>
      <c r="F184" s="42">
        <f t="shared" si="29"/>
        <v>6.405693950177936</v>
      </c>
      <c r="G184" s="40">
        <f>29+27</f>
        <v>56</v>
      </c>
      <c r="H184" s="41">
        <v>1</v>
      </c>
      <c r="I184" s="42">
        <f t="shared" si="23"/>
        <v>1.7857142857142856</v>
      </c>
      <c r="J184" s="41">
        <v>0</v>
      </c>
      <c r="K184" s="42">
        <f t="shared" si="24"/>
        <v>0</v>
      </c>
      <c r="L184" s="62">
        <v>1</v>
      </c>
      <c r="M184" s="42">
        <f t="shared" si="25"/>
        <v>1.7857142857142856</v>
      </c>
      <c r="N184" s="41">
        <v>0</v>
      </c>
      <c r="O184" s="43">
        <f t="shared" si="26"/>
        <v>0</v>
      </c>
      <c r="P184" s="44">
        <f t="shared" si="30"/>
        <v>2</v>
      </c>
      <c r="Q184" s="42">
        <f t="shared" si="27"/>
        <v>3.571428571428571</v>
      </c>
      <c r="R184" s="93">
        <f t="shared" si="31"/>
        <v>1</v>
      </c>
      <c r="S184" s="45">
        <f t="shared" si="28"/>
        <v>1.7857142857142856</v>
      </c>
    </row>
    <row r="185" spans="1:19" ht="12.75">
      <c r="A185" s="47">
        <v>144</v>
      </c>
      <c r="B185" s="74" t="s">
        <v>160</v>
      </c>
      <c r="C185" s="76">
        <v>42.65625</v>
      </c>
      <c r="D185" s="38">
        <v>947</v>
      </c>
      <c r="E185" s="39">
        <f>223+147</f>
        <v>370</v>
      </c>
      <c r="F185" s="42">
        <f t="shared" si="29"/>
        <v>39.070749736008445</v>
      </c>
      <c r="G185" s="40">
        <f>217+150</f>
        <v>367</v>
      </c>
      <c r="H185" s="41">
        <v>0</v>
      </c>
      <c r="I185" s="42">
        <f t="shared" si="23"/>
        <v>0</v>
      </c>
      <c r="J185" s="41">
        <v>0</v>
      </c>
      <c r="K185" s="42">
        <f t="shared" si="24"/>
        <v>0</v>
      </c>
      <c r="L185" s="62">
        <v>0</v>
      </c>
      <c r="M185" s="42">
        <f t="shared" si="25"/>
        <v>0</v>
      </c>
      <c r="N185" s="41">
        <v>0</v>
      </c>
      <c r="O185" s="43">
        <f t="shared" si="26"/>
        <v>0</v>
      </c>
      <c r="P185" s="44">
        <f t="shared" si="30"/>
        <v>0</v>
      </c>
      <c r="Q185" s="42">
        <f t="shared" si="27"/>
        <v>0</v>
      </c>
      <c r="R185" s="93">
        <f t="shared" si="31"/>
        <v>0</v>
      </c>
      <c r="S185" s="45">
        <f t="shared" si="28"/>
        <v>0</v>
      </c>
    </row>
    <row r="186" spans="1:19" ht="12.75">
      <c r="A186" s="47">
        <v>145</v>
      </c>
      <c r="B186" s="74" t="s">
        <v>161</v>
      </c>
      <c r="C186" s="76">
        <v>43.8235294117647</v>
      </c>
      <c r="D186" s="38">
        <v>20</v>
      </c>
      <c r="E186" s="39">
        <v>4</v>
      </c>
      <c r="F186" s="42">
        <f t="shared" si="29"/>
        <v>20</v>
      </c>
      <c r="G186" s="40">
        <v>4</v>
      </c>
      <c r="H186" s="41">
        <v>0</v>
      </c>
      <c r="I186" s="42">
        <f t="shared" si="23"/>
        <v>0</v>
      </c>
      <c r="J186" s="41">
        <v>0</v>
      </c>
      <c r="K186" s="42">
        <f t="shared" si="24"/>
        <v>0</v>
      </c>
      <c r="L186" s="62">
        <v>0</v>
      </c>
      <c r="M186" s="42">
        <f t="shared" si="25"/>
        <v>0</v>
      </c>
      <c r="N186" s="41">
        <v>0</v>
      </c>
      <c r="O186" s="43">
        <f t="shared" si="26"/>
        <v>0</v>
      </c>
      <c r="P186" s="44">
        <f t="shared" si="30"/>
        <v>0</v>
      </c>
      <c r="Q186" s="42">
        <f t="shared" si="27"/>
        <v>0</v>
      </c>
      <c r="R186" s="93">
        <f t="shared" si="31"/>
        <v>0</v>
      </c>
      <c r="S186" s="45">
        <f t="shared" si="28"/>
        <v>0</v>
      </c>
    </row>
    <row r="187" spans="1:19" ht="12.75">
      <c r="A187" s="47">
        <v>146</v>
      </c>
      <c r="B187" s="74" t="s">
        <v>162</v>
      </c>
      <c r="C187" s="76">
        <v>39.76062796300614</v>
      </c>
      <c r="D187" s="38">
        <v>686</v>
      </c>
      <c r="E187" s="39">
        <f>116+75</f>
        <v>191</v>
      </c>
      <c r="F187" s="42">
        <f t="shared" si="29"/>
        <v>27.84256559766764</v>
      </c>
      <c r="G187" s="40">
        <f>116+79</f>
        <v>195</v>
      </c>
      <c r="H187" s="41">
        <v>5</v>
      </c>
      <c r="I187" s="42">
        <f t="shared" si="23"/>
        <v>2.564102564102564</v>
      </c>
      <c r="J187" s="41">
        <v>1</v>
      </c>
      <c r="K187" s="42">
        <f t="shared" si="24"/>
        <v>0.5128205128205128</v>
      </c>
      <c r="L187" s="62">
        <v>1</v>
      </c>
      <c r="M187" s="42">
        <f t="shared" si="25"/>
        <v>0.5128205128205128</v>
      </c>
      <c r="N187" s="41">
        <v>0</v>
      </c>
      <c r="O187" s="43">
        <f t="shared" si="26"/>
        <v>0</v>
      </c>
      <c r="P187" s="44">
        <f t="shared" si="30"/>
        <v>7</v>
      </c>
      <c r="Q187" s="42">
        <f t="shared" si="27"/>
        <v>3.5897435897435894</v>
      </c>
      <c r="R187" s="93">
        <f t="shared" si="31"/>
        <v>1</v>
      </c>
      <c r="S187" s="45">
        <f t="shared" si="28"/>
        <v>0.5128205128205128</v>
      </c>
    </row>
    <row r="188" spans="1:19" ht="12.75">
      <c r="A188" s="47">
        <v>147</v>
      </c>
      <c r="B188" s="74" t="s">
        <v>163</v>
      </c>
      <c r="C188" s="76">
        <v>37.03024747937672</v>
      </c>
      <c r="D188" s="38">
        <v>59</v>
      </c>
      <c r="E188" s="39">
        <v>37</v>
      </c>
      <c r="F188" s="42">
        <f t="shared" si="29"/>
        <v>62.71186440677966</v>
      </c>
      <c r="G188" s="40">
        <f>28+12</f>
        <v>40</v>
      </c>
      <c r="H188" s="41">
        <v>0</v>
      </c>
      <c r="I188" s="42">
        <f t="shared" si="23"/>
        <v>0</v>
      </c>
      <c r="J188" s="41">
        <v>0</v>
      </c>
      <c r="K188" s="42">
        <f t="shared" si="24"/>
        <v>0</v>
      </c>
      <c r="L188" s="62">
        <v>0</v>
      </c>
      <c r="M188" s="42">
        <f t="shared" si="25"/>
        <v>0</v>
      </c>
      <c r="N188" s="41">
        <v>0</v>
      </c>
      <c r="O188" s="43">
        <f t="shared" si="26"/>
        <v>0</v>
      </c>
      <c r="P188" s="44">
        <f t="shared" si="30"/>
        <v>0</v>
      </c>
      <c r="Q188" s="42">
        <f t="shared" si="27"/>
        <v>0</v>
      </c>
      <c r="R188" s="93">
        <f t="shared" si="31"/>
        <v>0</v>
      </c>
      <c r="S188" s="45">
        <f t="shared" si="28"/>
        <v>0</v>
      </c>
    </row>
    <row r="189" spans="1:19" ht="12.75">
      <c r="A189" s="47">
        <v>148</v>
      </c>
      <c r="B189" s="74" t="s">
        <v>164</v>
      </c>
      <c r="C189" s="76">
        <v>45.74136137755691</v>
      </c>
      <c r="D189" s="38">
        <v>1053</v>
      </c>
      <c r="E189" s="39">
        <f>319+184</f>
        <v>503</v>
      </c>
      <c r="F189" s="42">
        <f t="shared" si="29"/>
        <v>47.768281101614434</v>
      </c>
      <c r="G189" s="40">
        <f>312+187</f>
        <v>499</v>
      </c>
      <c r="H189" s="41">
        <v>3</v>
      </c>
      <c r="I189" s="42">
        <f t="shared" si="23"/>
        <v>0.6012024048096193</v>
      </c>
      <c r="J189" s="41">
        <v>0</v>
      </c>
      <c r="K189" s="42">
        <f t="shared" si="24"/>
        <v>0</v>
      </c>
      <c r="L189" s="62">
        <v>1</v>
      </c>
      <c r="M189" s="42">
        <f t="shared" si="25"/>
        <v>0.2004008016032064</v>
      </c>
      <c r="N189" s="41">
        <v>0</v>
      </c>
      <c r="O189" s="43">
        <f t="shared" si="26"/>
        <v>0</v>
      </c>
      <c r="P189" s="44">
        <f t="shared" si="30"/>
        <v>4</v>
      </c>
      <c r="Q189" s="42">
        <f t="shared" si="27"/>
        <v>0.8016032064128256</v>
      </c>
      <c r="R189" s="93">
        <f t="shared" si="31"/>
        <v>1</v>
      </c>
      <c r="S189" s="45">
        <f t="shared" si="28"/>
        <v>0.2004008016032064</v>
      </c>
    </row>
    <row r="190" spans="1:19" ht="12.75">
      <c r="A190" s="47">
        <v>149</v>
      </c>
      <c r="B190" s="74" t="s">
        <v>165</v>
      </c>
      <c r="C190" s="76">
        <v>44</v>
      </c>
      <c r="D190" s="38">
        <v>28</v>
      </c>
      <c r="E190" s="39">
        <v>3</v>
      </c>
      <c r="F190" s="42">
        <f t="shared" si="29"/>
        <v>10.714285714285714</v>
      </c>
      <c r="G190" s="40">
        <v>3</v>
      </c>
      <c r="H190" s="41">
        <v>0</v>
      </c>
      <c r="I190" s="42">
        <f t="shared" si="23"/>
        <v>0</v>
      </c>
      <c r="J190" s="41">
        <v>0</v>
      </c>
      <c r="K190" s="42">
        <f t="shared" si="24"/>
        <v>0</v>
      </c>
      <c r="L190" s="62">
        <v>0</v>
      </c>
      <c r="M190" s="42">
        <f t="shared" si="25"/>
        <v>0</v>
      </c>
      <c r="N190" s="41">
        <v>0</v>
      </c>
      <c r="O190" s="43">
        <f t="shared" si="26"/>
        <v>0</v>
      </c>
      <c r="P190" s="44">
        <f t="shared" si="30"/>
        <v>0</v>
      </c>
      <c r="Q190" s="42">
        <f t="shared" si="27"/>
        <v>0</v>
      </c>
      <c r="R190" s="93">
        <f t="shared" si="31"/>
        <v>0</v>
      </c>
      <c r="S190" s="45">
        <f t="shared" si="28"/>
        <v>0</v>
      </c>
    </row>
    <row r="191" spans="1:19" ht="12.75">
      <c r="A191" s="47">
        <v>150</v>
      </c>
      <c r="B191" s="74" t="s">
        <v>166</v>
      </c>
      <c r="C191" s="76">
        <v>55.44217687074829</v>
      </c>
      <c r="D191" s="38">
        <v>49</v>
      </c>
      <c r="E191" s="39">
        <v>24</v>
      </c>
      <c r="F191" s="42">
        <f t="shared" si="29"/>
        <v>48.97959183673469</v>
      </c>
      <c r="G191" s="40">
        <v>24</v>
      </c>
      <c r="H191" s="41">
        <v>0</v>
      </c>
      <c r="I191" s="42">
        <f t="shared" si="23"/>
        <v>0</v>
      </c>
      <c r="J191" s="41">
        <v>0</v>
      </c>
      <c r="K191" s="42">
        <f t="shared" si="24"/>
        <v>0</v>
      </c>
      <c r="L191" s="62">
        <v>0</v>
      </c>
      <c r="M191" s="42">
        <f t="shared" si="25"/>
        <v>0</v>
      </c>
      <c r="N191" s="41">
        <v>0</v>
      </c>
      <c r="O191" s="43">
        <f t="shared" si="26"/>
        <v>0</v>
      </c>
      <c r="P191" s="44">
        <f t="shared" si="30"/>
        <v>0</v>
      </c>
      <c r="Q191" s="42">
        <f t="shared" si="27"/>
        <v>0</v>
      </c>
      <c r="R191" s="93">
        <f t="shared" si="31"/>
        <v>0</v>
      </c>
      <c r="S191" s="45">
        <f t="shared" si="28"/>
        <v>0</v>
      </c>
    </row>
    <row r="192" spans="1:19" ht="12.75">
      <c r="A192" s="47">
        <v>151</v>
      </c>
      <c r="B192" s="74" t="s">
        <v>167</v>
      </c>
      <c r="C192" s="76">
        <v>55.216007858713986</v>
      </c>
      <c r="D192" s="38">
        <v>3266</v>
      </c>
      <c r="E192" s="39">
        <f>1157+836</f>
        <v>1993</v>
      </c>
      <c r="F192" s="42">
        <f t="shared" si="29"/>
        <v>61.02265768524189</v>
      </c>
      <c r="G192" s="40">
        <f>1102+820</f>
        <v>1922</v>
      </c>
      <c r="H192" s="41">
        <v>44</v>
      </c>
      <c r="I192" s="42">
        <f t="shared" si="23"/>
        <v>2.2892819979188346</v>
      </c>
      <c r="J192" s="52">
        <v>22</v>
      </c>
      <c r="K192" s="42">
        <f t="shared" si="24"/>
        <v>1.1446409989594173</v>
      </c>
      <c r="L192" s="62">
        <v>20</v>
      </c>
      <c r="M192" s="42">
        <f t="shared" si="25"/>
        <v>1.040582726326743</v>
      </c>
      <c r="N192" s="41">
        <v>0</v>
      </c>
      <c r="O192" s="43">
        <f t="shared" si="26"/>
        <v>0</v>
      </c>
      <c r="P192" s="44">
        <f t="shared" si="30"/>
        <v>86</v>
      </c>
      <c r="Q192" s="42">
        <f t="shared" si="27"/>
        <v>4.474505723204994</v>
      </c>
      <c r="R192" s="93">
        <f t="shared" si="31"/>
        <v>20</v>
      </c>
      <c r="S192" s="45">
        <f t="shared" si="28"/>
        <v>1.040582726326743</v>
      </c>
    </row>
    <row r="193" spans="1:19" ht="12.75">
      <c r="A193" s="47">
        <v>152</v>
      </c>
      <c r="B193" s="74" t="s">
        <v>168</v>
      </c>
      <c r="C193" s="76">
        <v>49.83721512647132</v>
      </c>
      <c r="D193" s="38">
        <v>348</v>
      </c>
      <c r="E193" s="39">
        <f>71+39</f>
        <v>110</v>
      </c>
      <c r="F193" s="42">
        <f t="shared" si="29"/>
        <v>31.60919540229885</v>
      </c>
      <c r="G193" s="40">
        <f>68+40</f>
        <v>108</v>
      </c>
      <c r="H193" s="41">
        <v>1</v>
      </c>
      <c r="I193" s="42">
        <f t="shared" si="23"/>
        <v>0.9259259259259258</v>
      </c>
      <c r="J193" s="41">
        <v>0</v>
      </c>
      <c r="K193" s="42">
        <f t="shared" si="24"/>
        <v>0</v>
      </c>
      <c r="L193" s="62">
        <v>0</v>
      </c>
      <c r="M193" s="42">
        <f t="shared" si="25"/>
        <v>0</v>
      </c>
      <c r="N193" s="41">
        <v>0</v>
      </c>
      <c r="O193" s="43">
        <f t="shared" si="26"/>
        <v>0</v>
      </c>
      <c r="P193" s="44">
        <f t="shared" si="30"/>
        <v>1</v>
      </c>
      <c r="Q193" s="42">
        <f t="shared" si="27"/>
        <v>0.9259259259259258</v>
      </c>
      <c r="R193" s="93">
        <f t="shared" si="31"/>
        <v>0</v>
      </c>
      <c r="S193" s="45">
        <f t="shared" si="28"/>
        <v>0</v>
      </c>
    </row>
    <row r="194" spans="1:19" ht="12.75">
      <c r="A194" s="47">
        <v>153</v>
      </c>
      <c r="B194" s="74" t="s">
        <v>169</v>
      </c>
      <c r="C194" s="76">
        <v>48.5177151120752</v>
      </c>
      <c r="D194" s="38">
        <v>457</v>
      </c>
      <c r="E194" s="39">
        <f>144+36</f>
        <v>180</v>
      </c>
      <c r="F194" s="42">
        <f t="shared" si="29"/>
        <v>39.38730853391685</v>
      </c>
      <c r="G194" s="40">
        <f>140+40</f>
        <v>180</v>
      </c>
      <c r="H194" s="41">
        <v>1</v>
      </c>
      <c r="I194" s="42">
        <f t="shared" si="23"/>
        <v>0.5555555555555556</v>
      </c>
      <c r="J194" s="66">
        <v>0</v>
      </c>
      <c r="K194" s="42">
        <f t="shared" si="24"/>
        <v>0</v>
      </c>
      <c r="L194" s="62">
        <v>0</v>
      </c>
      <c r="M194" s="42">
        <f t="shared" si="25"/>
        <v>0</v>
      </c>
      <c r="N194" s="41">
        <v>0</v>
      </c>
      <c r="O194" s="43">
        <f t="shared" si="26"/>
        <v>0</v>
      </c>
      <c r="P194" s="44">
        <f t="shared" si="30"/>
        <v>1</v>
      </c>
      <c r="Q194" s="42">
        <f t="shared" si="27"/>
        <v>0.5555555555555556</v>
      </c>
      <c r="R194" s="93">
        <f t="shared" si="31"/>
        <v>0</v>
      </c>
      <c r="S194" s="45">
        <f t="shared" si="28"/>
        <v>0</v>
      </c>
    </row>
    <row r="195" spans="1:19" ht="12.75">
      <c r="A195" s="47">
        <v>154</v>
      </c>
      <c r="B195" s="74" t="s">
        <v>170</v>
      </c>
      <c r="C195" s="76">
        <v>71.51823780198959</v>
      </c>
      <c r="D195" s="38">
        <v>122</v>
      </c>
      <c r="E195" s="39">
        <v>89</v>
      </c>
      <c r="F195" s="42">
        <f t="shared" si="29"/>
        <v>72.95081967213115</v>
      </c>
      <c r="G195" s="40">
        <f>47+40</f>
        <v>87</v>
      </c>
      <c r="H195" s="41">
        <v>0</v>
      </c>
      <c r="I195" s="42">
        <f t="shared" si="23"/>
        <v>0</v>
      </c>
      <c r="J195" s="41">
        <v>1</v>
      </c>
      <c r="K195" s="42">
        <f t="shared" si="24"/>
        <v>1.1494252873563218</v>
      </c>
      <c r="L195" s="62">
        <v>0</v>
      </c>
      <c r="M195" s="42">
        <f t="shared" si="25"/>
        <v>0</v>
      </c>
      <c r="N195" s="41">
        <v>0</v>
      </c>
      <c r="O195" s="43">
        <f t="shared" si="26"/>
        <v>0</v>
      </c>
      <c r="P195" s="44">
        <f t="shared" si="30"/>
        <v>1</v>
      </c>
      <c r="Q195" s="42">
        <f t="shared" si="27"/>
        <v>1.1494252873563218</v>
      </c>
      <c r="R195" s="93">
        <f t="shared" si="31"/>
        <v>0</v>
      </c>
      <c r="S195" s="45">
        <f t="shared" si="28"/>
        <v>0</v>
      </c>
    </row>
    <row r="196" spans="1:19" ht="12.75">
      <c r="A196" s="47">
        <v>155</v>
      </c>
      <c r="B196" s="74" t="s">
        <v>171</v>
      </c>
      <c r="C196" s="76">
        <v>53.99355300859598</v>
      </c>
      <c r="D196" s="38">
        <v>1437</v>
      </c>
      <c r="E196" s="39">
        <f>292+91</f>
        <v>383</v>
      </c>
      <c r="F196" s="42">
        <f t="shared" si="29"/>
        <v>26.65274878218511</v>
      </c>
      <c r="G196" s="40">
        <f>295+94</f>
        <v>389</v>
      </c>
      <c r="H196" s="41">
        <v>4</v>
      </c>
      <c r="I196" s="42">
        <f aca="true" t="shared" si="32" ref="I196:I218">+(H196/$G196)*100</f>
        <v>1.0282776349614395</v>
      </c>
      <c r="J196" s="41">
        <v>1</v>
      </c>
      <c r="K196" s="42">
        <f aca="true" t="shared" si="33" ref="K196:K218">+(J196/$G196)*100</f>
        <v>0.2570694087403599</v>
      </c>
      <c r="L196" s="62">
        <v>3</v>
      </c>
      <c r="M196" s="42">
        <f aca="true" t="shared" si="34" ref="M196:M218">+(L196/$G196)*100</f>
        <v>0.7712082262210797</v>
      </c>
      <c r="N196" s="41">
        <v>0</v>
      </c>
      <c r="O196" s="43">
        <f aca="true" t="shared" si="35" ref="O196:O218">+(N196/$G196)*100</f>
        <v>0</v>
      </c>
      <c r="P196" s="44">
        <f t="shared" si="30"/>
        <v>8</v>
      </c>
      <c r="Q196" s="42">
        <f aca="true" t="shared" si="36" ref="Q196:Q218">+(P196/$G196)*100</f>
        <v>2.056555269922879</v>
      </c>
      <c r="R196" s="93">
        <f t="shared" si="31"/>
        <v>3</v>
      </c>
      <c r="S196" s="45">
        <f aca="true" t="shared" si="37" ref="S196:S218">+(R196/$G196)*100</f>
        <v>0.7712082262210797</v>
      </c>
    </row>
    <row r="197" spans="1:19" ht="12.75">
      <c r="A197" s="47">
        <v>156</v>
      </c>
      <c r="B197" s="74" t="s">
        <v>172</v>
      </c>
      <c r="C197" s="76">
        <v>42.60115606936416</v>
      </c>
      <c r="D197" s="38">
        <v>1296</v>
      </c>
      <c r="E197" s="39">
        <f>405+242</f>
        <v>647</v>
      </c>
      <c r="F197" s="42">
        <f t="shared" si="29"/>
        <v>49.92283950617284</v>
      </c>
      <c r="G197" s="40">
        <f>400+243</f>
        <v>643</v>
      </c>
      <c r="H197" s="41">
        <v>7</v>
      </c>
      <c r="I197" s="42">
        <f t="shared" si="32"/>
        <v>1.088646967340591</v>
      </c>
      <c r="J197" s="41">
        <v>6</v>
      </c>
      <c r="K197" s="42">
        <f t="shared" si="33"/>
        <v>0.9331259720062209</v>
      </c>
      <c r="L197" s="62">
        <v>3</v>
      </c>
      <c r="M197" s="42">
        <f t="shared" si="34"/>
        <v>0.46656298600311047</v>
      </c>
      <c r="N197" s="41">
        <v>0</v>
      </c>
      <c r="O197" s="43">
        <f t="shared" si="35"/>
        <v>0</v>
      </c>
      <c r="P197" s="44">
        <f t="shared" si="30"/>
        <v>16</v>
      </c>
      <c r="Q197" s="42">
        <f t="shared" si="36"/>
        <v>2.488335925349922</v>
      </c>
      <c r="R197" s="93">
        <f t="shared" si="31"/>
        <v>3</v>
      </c>
      <c r="S197" s="45">
        <f t="shared" si="37"/>
        <v>0.46656298600311047</v>
      </c>
    </row>
    <row r="198" spans="1:19" ht="12.75">
      <c r="A198" s="47">
        <v>157</v>
      </c>
      <c r="B198" s="74" t="s">
        <v>173</v>
      </c>
      <c r="C198" s="76">
        <v>34.00339750849377</v>
      </c>
      <c r="D198" s="38">
        <v>305</v>
      </c>
      <c r="E198" s="39">
        <f>87+85</f>
        <v>172</v>
      </c>
      <c r="F198" s="42">
        <f t="shared" si="29"/>
        <v>56.393442622950815</v>
      </c>
      <c r="G198" s="40">
        <f>88+82</f>
        <v>170</v>
      </c>
      <c r="H198" s="41">
        <v>0</v>
      </c>
      <c r="I198" s="42">
        <f t="shared" si="32"/>
        <v>0</v>
      </c>
      <c r="J198" s="41">
        <v>0</v>
      </c>
      <c r="K198" s="42">
        <f t="shared" si="33"/>
        <v>0</v>
      </c>
      <c r="L198" s="62">
        <v>0</v>
      </c>
      <c r="M198" s="42">
        <f t="shared" si="34"/>
        <v>0</v>
      </c>
      <c r="N198" s="41">
        <v>0</v>
      </c>
      <c r="O198" s="43">
        <f t="shared" si="35"/>
        <v>0</v>
      </c>
      <c r="P198" s="44">
        <f t="shared" si="30"/>
        <v>0</v>
      </c>
      <c r="Q198" s="42">
        <f t="shared" si="36"/>
        <v>0</v>
      </c>
      <c r="R198" s="93">
        <f t="shared" si="31"/>
        <v>0</v>
      </c>
      <c r="S198" s="45">
        <f t="shared" si="37"/>
        <v>0</v>
      </c>
    </row>
    <row r="199" spans="1:19" ht="12.75">
      <c r="A199" s="47">
        <v>158</v>
      </c>
      <c r="B199" s="74" t="s">
        <v>174</v>
      </c>
      <c r="C199" s="76">
        <v>57.645305514157975</v>
      </c>
      <c r="D199" s="38">
        <v>720</v>
      </c>
      <c r="E199" s="39">
        <f>253+221</f>
        <v>474</v>
      </c>
      <c r="F199" s="42">
        <f t="shared" si="29"/>
        <v>65.83333333333333</v>
      </c>
      <c r="G199" s="40">
        <f>252+222</f>
        <v>474</v>
      </c>
      <c r="H199" s="41">
        <v>1</v>
      </c>
      <c r="I199" s="42">
        <f t="shared" si="32"/>
        <v>0.21097046413502107</v>
      </c>
      <c r="J199" s="41">
        <v>0</v>
      </c>
      <c r="K199" s="42">
        <f t="shared" si="33"/>
        <v>0</v>
      </c>
      <c r="L199" s="62">
        <v>1</v>
      </c>
      <c r="M199" s="42">
        <f t="shared" si="34"/>
        <v>0.21097046413502107</v>
      </c>
      <c r="N199" s="41">
        <v>0</v>
      </c>
      <c r="O199" s="43">
        <f t="shared" si="35"/>
        <v>0</v>
      </c>
      <c r="P199" s="44">
        <f t="shared" si="30"/>
        <v>2</v>
      </c>
      <c r="Q199" s="42">
        <f t="shared" si="36"/>
        <v>0.42194092827004215</v>
      </c>
      <c r="R199" s="93">
        <f t="shared" si="31"/>
        <v>1</v>
      </c>
      <c r="S199" s="45">
        <f t="shared" si="37"/>
        <v>0.21097046413502107</v>
      </c>
    </row>
    <row r="200" spans="1:19" ht="12.75">
      <c r="A200" s="47">
        <v>159</v>
      </c>
      <c r="B200" s="74" t="s">
        <v>175</v>
      </c>
      <c r="C200" s="76">
        <v>49.16601170203476</v>
      </c>
      <c r="D200" s="38">
        <v>545</v>
      </c>
      <c r="E200" s="39">
        <v>68</v>
      </c>
      <c r="F200" s="42">
        <f t="shared" si="29"/>
        <v>12.477064220183486</v>
      </c>
      <c r="G200" s="40">
        <f>53+19</f>
        <v>72</v>
      </c>
      <c r="H200" s="41">
        <v>0</v>
      </c>
      <c r="I200" s="42">
        <f t="shared" si="32"/>
        <v>0</v>
      </c>
      <c r="J200" s="41">
        <v>0</v>
      </c>
      <c r="K200" s="42">
        <f t="shared" si="33"/>
        <v>0</v>
      </c>
      <c r="L200" s="62">
        <v>0</v>
      </c>
      <c r="M200" s="42">
        <f t="shared" si="34"/>
        <v>0</v>
      </c>
      <c r="N200" s="41">
        <v>0</v>
      </c>
      <c r="O200" s="43">
        <f t="shared" si="35"/>
        <v>0</v>
      </c>
      <c r="P200" s="44">
        <f t="shared" si="30"/>
        <v>0</v>
      </c>
      <c r="Q200" s="42">
        <f t="shared" si="36"/>
        <v>0</v>
      </c>
      <c r="R200" s="93">
        <f t="shared" si="31"/>
        <v>0</v>
      </c>
      <c r="S200" s="45">
        <f t="shared" si="37"/>
        <v>0</v>
      </c>
    </row>
    <row r="201" spans="1:19" ht="12.75">
      <c r="A201" s="47">
        <v>160</v>
      </c>
      <c r="B201" s="74" t="s">
        <v>176</v>
      </c>
      <c r="C201" s="76">
        <v>27.00699876492384</v>
      </c>
      <c r="D201" s="38">
        <v>113</v>
      </c>
      <c r="E201" s="39">
        <v>14</v>
      </c>
      <c r="F201" s="42">
        <f t="shared" si="29"/>
        <v>12.389380530973451</v>
      </c>
      <c r="G201" s="40">
        <f>8+6</f>
        <v>14</v>
      </c>
      <c r="H201" s="41">
        <v>0</v>
      </c>
      <c r="I201" s="42">
        <f t="shared" si="32"/>
        <v>0</v>
      </c>
      <c r="J201" s="41">
        <v>0</v>
      </c>
      <c r="K201" s="42">
        <f t="shared" si="33"/>
        <v>0</v>
      </c>
      <c r="L201" s="62">
        <v>0</v>
      </c>
      <c r="M201" s="42">
        <f t="shared" si="34"/>
        <v>0</v>
      </c>
      <c r="N201" s="41">
        <v>0</v>
      </c>
      <c r="O201" s="43">
        <f t="shared" si="35"/>
        <v>0</v>
      </c>
      <c r="P201" s="44">
        <f t="shared" si="30"/>
        <v>0</v>
      </c>
      <c r="Q201" s="42">
        <f t="shared" si="36"/>
        <v>0</v>
      </c>
      <c r="R201" s="93">
        <f t="shared" si="31"/>
        <v>0</v>
      </c>
      <c r="S201" s="45">
        <f t="shared" si="37"/>
        <v>0</v>
      </c>
    </row>
    <row r="202" spans="1:19" ht="12.75">
      <c r="A202" s="47">
        <v>161</v>
      </c>
      <c r="B202" s="74" t="s">
        <v>177</v>
      </c>
      <c r="C202" s="76">
        <v>35.43268444299035</v>
      </c>
      <c r="D202" s="38">
        <v>528</v>
      </c>
      <c r="E202" s="39">
        <v>269</v>
      </c>
      <c r="F202" s="42">
        <f t="shared" si="29"/>
        <v>50.9469696969697</v>
      </c>
      <c r="G202" s="40">
        <f>96+175</f>
        <v>271</v>
      </c>
      <c r="H202" s="41">
        <v>0</v>
      </c>
      <c r="I202" s="42">
        <f t="shared" si="32"/>
        <v>0</v>
      </c>
      <c r="J202" s="41">
        <v>0</v>
      </c>
      <c r="K202" s="42">
        <f t="shared" si="33"/>
        <v>0</v>
      </c>
      <c r="L202" s="62">
        <v>0</v>
      </c>
      <c r="M202" s="42">
        <f t="shared" si="34"/>
        <v>0</v>
      </c>
      <c r="N202" s="41">
        <v>0</v>
      </c>
      <c r="O202" s="43">
        <f t="shared" si="35"/>
        <v>0</v>
      </c>
      <c r="P202" s="44">
        <f t="shared" si="30"/>
        <v>0</v>
      </c>
      <c r="Q202" s="42">
        <f t="shared" si="36"/>
        <v>0</v>
      </c>
      <c r="R202" s="93">
        <f t="shared" si="31"/>
        <v>0</v>
      </c>
      <c r="S202" s="45">
        <f t="shared" si="37"/>
        <v>0</v>
      </c>
    </row>
    <row r="203" spans="1:19" ht="12.75">
      <c r="A203" s="47">
        <v>162</v>
      </c>
      <c r="B203" s="74" t="s">
        <v>178</v>
      </c>
      <c r="C203" s="76">
        <v>65.07517269402682</v>
      </c>
      <c r="D203" s="38">
        <v>238</v>
      </c>
      <c r="E203" s="39">
        <v>21</v>
      </c>
      <c r="F203" s="42">
        <f t="shared" si="29"/>
        <v>8.823529411764707</v>
      </c>
      <c r="G203" s="40">
        <f>11+12</f>
        <v>23</v>
      </c>
      <c r="H203" s="41">
        <v>0</v>
      </c>
      <c r="I203" s="42">
        <f t="shared" si="32"/>
        <v>0</v>
      </c>
      <c r="J203" s="41">
        <v>1</v>
      </c>
      <c r="K203" s="42">
        <f t="shared" si="33"/>
        <v>4.3478260869565215</v>
      </c>
      <c r="L203" s="62">
        <v>1</v>
      </c>
      <c r="M203" s="42">
        <f t="shared" si="34"/>
        <v>4.3478260869565215</v>
      </c>
      <c r="N203" s="41">
        <v>0</v>
      </c>
      <c r="O203" s="43">
        <f t="shared" si="35"/>
        <v>0</v>
      </c>
      <c r="P203" s="44">
        <f t="shared" si="30"/>
        <v>2</v>
      </c>
      <c r="Q203" s="42">
        <f t="shared" si="36"/>
        <v>8.695652173913043</v>
      </c>
      <c r="R203" s="93">
        <f t="shared" si="31"/>
        <v>1</v>
      </c>
      <c r="S203" s="45">
        <f t="shared" si="37"/>
        <v>4.3478260869565215</v>
      </c>
    </row>
    <row r="204" spans="1:19" ht="12.75">
      <c r="A204" s="47">
        <v>163</v>
      </c>
      <c r="B204" s="74" t="s">
        <v>179</v>
      </c>
      <c r="C204" s="76">
        <v>53.54021958323998</v>
      </c>
      <c r="D204" s="38">
        <v>596</v>
      </c>
      <c r="E204" s="39">
        <f>95+63</f>
        <v>158</v>
      </c>
      <c r="F204" s="42">
        <f t="shared" si="29"/>
        <v>26.51006711409396</v>
      </c>
      <c r="G204" s="40">
        <f>90+64</f>
        <v>154</v>
      </c>
      <c r="H204" s="41">
        <v>3</v>
      </c>
      <c r="I204" s="42">
        <f t="shared" si="32"/>
        <v>1.948051948051948</v>
      </c>
      <c r="J204" s="41">
        <v>0</v>
      </c>
      <c r="K204" s="42">
        <f t="shared" si="33"/>
        <v>0</v>
      </c>
      <c r="L204" s="62">
        <v>1</v>
      </c>
      <c r="M204" s="42">
        <f t="shared" si="34"/>
        <v>0.6493506493506493</v>
      </c>
      <c r="N204" s="41">
        <v>0</v>
      </c>
      <c r="O204" s="43">
        <f t="shared" si="35"/>
        <v>0</v>
      </c>
      <c r="P204" s="44">
        <f t="shared" si="30"/>
        <v>4</v>
      </c>
      <c r="Q204" s="42">
        <f t="shared" si="36"/>
        <v>2.5974025974025974</v>
      </c>
      <c r="R204" s="93">
        <f t="shared" si="31"/>
        <v>1</v>
      </c>
      <c r="S204" s="45">
        <f t="shared" si="37"/>
        <v>0.6493506493506493</v>
      </c>
    </row>
    <row r="205" spans="1:19" ht="13.5" thickBot="1">
      <c r="A205" s="47">
        <v>164</v>
      </c>
      <c r="B205" s="74" t="s">
        <v>180</v>
      </c>
      <c r="C205" s="76">
        <v>42.89908256880734</v>
      </c>
      <c r="D205" s="38">
        <v>652</v>
      </c>
      <c r="E205" s="39">
        <f>152+58</f>
        <v>210</v>
      </c>
      <c r="F205" s="42">
        <f t="shared" si="29"/>
        <v>32.20858895705521</v>
      </c>
      <c r="G205" s="40">
        <f>153+59</f>
        <v>212</v>
      </c>
      <c r="H205" s="41">
        <v>3</v>
      </c>
      <c r="I205" s="42">
        <f t="shared" si="32"/>
        <v>1.4150943396226416</v>
      </c>
      <c r="J205" s="41">
        <v>1</v>
      </c>
      <c r="K205" s="42">
        <f t="shared" si="33"/>
        <v>0.4716981132075472</v>
      </c>
      <c r="L205" s="62">
        <v>1</v>
      </c>
      <c r="M205" s="42">
        <f t="shared" si="34"/>
        <v>0.4716981132075472</v>
      </c>
      <c r="N205" s="41">
        <v>0</v>
      </c>
      <c r="O205" s="43">
        <f t="shared" si="35"/>
        <v>0</v>
      </c>
      <c r="P205" s="44">
        <f t="shared" si="30"/>
        <v>5</v>
      </c>
      <c r="Q205" s="42">
        <f t="shared" si="36"/>
        <v>2.358490566037736</v>
      </c>
      <c r="R205" s="93">
        <f t="shared" si="31"/>
        <v>1</v>
      </c>
      <c r="S205" s="45">
        <f t="shared" si="37"/>
        <v>0.4716981132075472</v>
      </c>
    </row>
    <row r="206" spans="1:19" ht="13.5" thickTop="1">
      <c r="A206" s="80" t="s">
        <v>196</v>
      </c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81"/>
    </row>
    <row r="207" spans="1:19" ht="12.75">
      <c r="A207" s="3" t="s">
        <v>197</v>
      </c>
      <c r="B207" s="10"/>
      <c r="C207" s="10"/>
      <c r="D207" s="83"/>
      <c r="E207" s="83"/>
      <c r="F207" s="83"/>
      <c r="G207" s="83"/>
      <c r="H207" s="83"/>
      <c r="I207" s="83"/>
      <c r="J207" s="5"/>
      <c r="K207" s="83"/>
      <c r="L207" s="83"/>
      <c r="M207" s="83"/>
      <c r="N207" s="83"/>
      <c r="O207" s="83"/>
      <c r="P207" s="83"/>
      <c r="Q207" s="83"/>
      <c r="R207" s="10"/>
      <c r="S207" s="72"/>
    </row>
    <row r="208" spans="1:19" ht="13.5" thickBot="1">
      <c r="A208" s="31"/>
      <c r="B208" s="4"/>
      <c r="C208" s="4"/>
      <c r="D208" s="5"/>
      <c r="E208" s="5"/>
      <c r="F208" s="5"/>
      <c r="G208" s="5"/>
      <c r="H208" s="5"/>
      <c r="I208" s="5"/>
      <c r="K208" s="5"/>
      <c r="L208" s="5"/>
      <c r="M208" s="5"/>
      <c r="N208" s="5"/>
      <c r="O208" s="4"/>
      <c r="P208" s="4"/>
      <c r="Q208" s="4"/>
      <c r="R208" s="4"/>
      <c r="S208" s="72"/>
    </row>
    <row r="209" spans="1:19" ht="13.5" thickTop="1">
      <c r="A209" s="8"/>
      <c r="B209" s="1"/>
      <c r="C209" s="95"/>
      <c r="D209" s="94" t="s">
        <v>198</v>
      </c>
      <c r="E209" s="1"/>
      <c r="F209" s="6"/>
      <c r="G209" s="94" t="s">
        <v>190</v>
      </c>
      <c r="H209" s="1"/>
      <c r="I209" s="7"/>
      <c r="J209" s="7"/>
      <c r="K209" s="7"/>
      <c r="L209" s="7"/>
      <c r="M209" s="7"/>
      <c r="N209" s="7"/>
      <c r="O209" s="1"/>
      <c r="P209" s="1"/>
      <c r="Q209" s="1"/>
      <c r="R209" s="1"/>
      <c r="S209" s="81"/>
    </row>
    <row r="210" spans="1:19" ht="13.5" thickBot="1">
      <c r="A210" s="8"/>
      <c r="B210" s="4"/>
      <c r="C210" s="77"/>
      <c r="D210" s="13" t="s">
        <v>187</v>
      </c>
      <c r="E210" s="14"/>
      <c r="F210" s="15"/>
      <c r="G210" s="16" t="s">
        <v>200</v>
      </c>
      <c r="H210" s="14"/>
      <c r="I210" s="17"/>
      <c r="J210" s="17"/>
      <c r="K210" s="17"/>
      <c r="L210" s="17"/>
      <c r="M210" s="17"/>
      <c r="N210" s="17"/>
      <c r="O210" s="14"/>
      <c r="P210" s="4"/>
      <c r="Q210" s="4"/>
      <c r="R210" s="4"/>
      <c r="S210" s="72"/>
    </row>
    <row r="211" spans="1:19" s="9" customFormat="1" ht="13.5" thickTop="1">
      <c r="A211" s="12" t="s">
        <v>194</v>
      </c>
      <c r="C211" s="79" t="s">
        <v>189</v>
      </c>
      <c r="D211" s="18" t="s">
        <v>0</v>
      </c>
      <c r="E211" s="19" t="s">
        <v>1</v>
      </c>
      <c r="F211" s="11"/>
      <c r="G211" s="18" t="s">
        <v>2</v>
      </c>
      <c r="H211" s="78" t="s">
        <v>193</v>
      </c>
      <c r="I211" s="21"/>
      <c r="J211" s="67"/>
      <c r="K211" s="21"/>
      <c r="L211" s="71"/>
      <c r="M211" s="21"/>
      <c r="N211" s="21"/>
      <c r="O211" s="22"/>
      <c r="P211" s="101" t="s">
        <v>3</v>
      </c>
      <c r="Q211" s="23"/>
      <c r="R211" s="82"/>
      <c r="S211" s="102"/>
    </row>
    <row r="212" spans="1:19" ht="12.75">
      <c r="A212" s="8"/>
      <c r="B212" s="9"/>
      <c r="C212" s="79" t="s">
        <v>191</v>
      </c>
      <c r="D212" s="18" t="s">
        <v>4</v>
      </c>
      <c r="E212" s="24" t="s">
        <v>5</v>
      </c>
      <c r="F212" s="25"/>
      <c r="G212" s="18" t="s">
        <v>6</v>
      </c>
      <c r="H212" s="20" t="s">
        <v>7</v>
      </c>
      <c r="I212" s="26"/>
      <c r="J212" s="78" t="s">
        <v>192</v>
      </c>
      <c r="K212" s="26"/>
      <c r="L212" s="20" t="s">
        <v>8</v>
      </c>
      <c r="M212" s="26"/>
      <c r="N212" s="20" t="s">
        <v>9</v>
      </c>
      <c r="O212" s="27"/>
      <c r="P212" s="28" t="s">
        <v>10</v>
      </c>
      <c r="Q212" s="4"/>
      <c r="R212" s="29" t="s">
        <v>11</v>
      </c>
      <c r="S212" s="30"/>
    </row>
    <row r="213" spans="1:19" s="92" customFormat="1" ht="13.5" thickBot="1">
      <c r="A213" s="84"/>
      <c r="B213" s="85"/>
      <c r="C213" s="86" t="s">
        <v>195</v>
      </c>
      <c r="D213" s="87" t="s">
        <v>12</v>
      </c>
      <c r="E213" s="88" t="s">
        <v>13</v>
      </c>
      <c r="F213" s="88" t="s">
        <v>14</v>
      </c>
      <c r="G213" s="87" t="s">
        <v>15</v>
      </c>
      <c r="H213" s="88" t="s">
        <v>13</v>
      </c>
      <c r="I213" s="88" t="s">
        <v>14</v>
      </c>
      <c r="J213" s="88" t="s">
        <v>13</v>
      </c>
      <c r="K213" s="88" t="s">
        <v>14</v>
      </c>
      <c r="L213" s="88" t="s">
        <v>13</v>
      </c>
      <c r="M213" s="88" t="s">
        <v>14</v>
      </c>
      <c r="N213" s="88" t="s">
        <v>13</v>
      </c>
      <c r="O213" s="89" t="s">
        <v>14</v>
      </c>
      <c r="P213" s="88" t="s">
        <v>13</v>
      </c>
      <c r="Q213" s="90" t="s">
        <v>14</v>
      </c>
      <c r="R213" s="88" t="s">
        <v>13</v>
      </c>
      <c r="S213" s="91" t="s">
        <v>14</v>
      </c>
    </row>
    <row r="214" spans="1:19" ht="13.5" thickTop="1">
      <c r="A214" s="47">
        <v>165</v>
      </c>
      <c r="B214" s="74" t="s">
        <v>181</v>
      </c>
      <c r="C214" s="76">
        <v>58.18466967261321</v>
      </c>
      <c r="D214" s="38">
        <v>257</v>
      </c>
      <c r="E214" s="39">
        <v>58</v>
      </c>
      <c r="F214" s="42">
        <f t="shared" si="29"/>
        <v>22.56809338521401</v>
      </c>
      <c r="G214" s="40">
        <f>44+13</f>
        <v>57</v>
      </c>
      <c r="H214" s="41">
        <v>1</v>
      </c>
      <c r="I214" s="42">
        <f t="shared" si="32"/>
        <v>1.7543859649122806</v>
      </c>
      <c r="J214" s="41">
        <v>0</v>
      </c>
      <c r="K214" s="42">
        <f t="shared" si="33"/>
        <v>0</v>
      </c>
      <c r="L214" s="62">
        <v>0</v>
      </c>
      <c r="M214" s="42">
        <f t="shared" si="34"/>
        <v>0</v>
      </c>
      <c r="N214" s="41">
        <v>0</v>
      </c>
      <c r="O214" s="43">
        <f t="shared" si="35"/>
        <v>0</v>
      </c>
      <c r="P214" s="44">
        <f>SUM(H214)+J214+L214+N214</f>
        <v>1</v>
      </c>
      <c r="Q214" s="42">
        <f t="shared" si="36"/>
        <v>1.7543859649122806</v>
      </c>
      <c r="R214" s="93">
        <f>+L214+N214</f>
        <v>0</v>
      </c>
      <c r="S214" s="45">
        <f t="shared" si="37"/>
        <v>0</v>
      </c>
    </row>
    <row r="215" spans="1:19" ht="12.75">
      <c r="A215" s="47">
        <v>166</v>
      </c>
      <c r="B215" s="74" t="s">
        <v>182</v>
      </c>
      <c r="C215" s="76">
        <v>43.10966810966811</v>
      </c>
      <c r="D215" s="38">
        <v>377</v>
      </c>
      <c r="E215" s="39">
        <f>92+35</f>
        <v>127</v>
      </c>
      <c r="F215" s="42">
        <f t="shared" si="29"/>
        <v>33.687002652519894</v>
      </c>
      <c r="G215" s="40">
        <f>92+36</f>
        <v>128</v>
      </c>
      <c r="H215" s="41">
        <v>0</v>
      </c>
      <c r="I215" s="42">
        <f t="shared" si="32"/>
        <v>0</v>
      </c>
      <c r="J215" s="41">
        <v>1</v>
      </c>
      <c r="K215" s="42">
        <f t="shared" si="33"/>
        <v>0.78125</v>
      </c>
      <c r="L215" s="62">
        <v>0</v>
      </c>
      <c r="M215" s="42">
        <f t="shared" si="34"/>
        <v>0</v>
      </c>
      <c r="N215" s="41">
        <v>0</v>
      </c>
      <c r="O215" s="43">
        <f t="shared" si="35"/>
        <v>0</v>
      </c>
      <c r="P215" s="44">
        <f>SUM(H215)+J215+L215+N215</f>
        <v>1</v>
      </c>
      <c r="Q215" s="42">
        <f t="shared" si="36"/>
        <v>0.78125</v>
      </c>
      <c r="R215" s="93">
        <f>+L215+N215</f>
        <v>0</v>
      </c>
      <c r="S215" s="45">
        <f t="shared" si="37"/>
        <v>0</v>
      </c>
    </row>
    <row r="216" spans="1:19" ht="12.75">
      <c r="A216" s="47">
        <v>167</v>
      </c>
      <c r="B216" s="74" t="s">
        <v>183</v>
      </c>
      <c r="C216" s="76">
        <v>42.64659767952336</v>
      </c>
      <c r="D216" s="38">
        <v>201</v>
      </c>
      <c r="E216" s="39">
        <f>36+13</f>
        <v>49</v>
      </c>
      <c r="F216" s="42">
        <f t="shared" si="29"/>
        <v>24.378109452736318</v>
      </c>
      <c r="G216" s="40">
        <f>35+13</f>
        <v>48</v>
      </c>
      <c r="H216" s="41">
        <v>0</v>
      </c>
      <c r="I216" s="42">
        <f t="shared" si="32"/>
        <v>0</v>
      </c>
      <c r="J216" s="41">
        <v>1</v>
      </c>
      <c r="K216" s="42">
        <f t="shared" si="33"/>
        <v>2.083333333333333</v>
      </c>
      <c r="L216" s="62">
        <v>0</v>
      </c>
      <c r="M216" s="42">
        <f t="shared" si="34"/>
        <v>0</v>
      </c>
      <c r="N216" s="41">
        <v>0</v>
      </c>
      <c r="O216" s="43">
        <f t="shared" si="35"/>
        <v>0</v>
      </c>
      <c r="P216" s="44">
        <f>SUM(H216)+J216+L216+N216</f>
        <v>1</v>
      </c>
      <c r="Q216" s="42">
        <f t="shared" si="36"/>
        <v>2.083333333333333</v>
      </c>
      <c r="R216" s="93">
        <f>+L216+N216</f>
        <v>0</v>
      </c>
      <c r="S216" s="45">
        <f t="shared" si="37"/>
        <v>0</v>
      </c>
    </row>
    <row r="217" spans="1:19" ht="12.75">
      <c r="A217" s="47">
        <v>168</v>
      </c>
      <c r="B217" s="74" t="s">
        <v>184</v>
      </c>
      <c r="C217" s="76">
        <v>35.22874127681572</v>
      </c>
      <c r="D217" s="38">
        <v>208</v>
      </c>
      <c r="E217" s="39">
        <f>72+44</f>
        <v>116</v>
      </c>
      <c r="F217" s="42">
        <f t="shared" si="29"/>
        <v>55.769230769230774</v>
      </c>
      <c r="G217" s="40">
        <f>70+43</f>
        <v>113</v>
      </c>
      <c r="H217" s="41">
        <v>2</v>
      </c>
      <c r="I217" s="42">
        <f t="shared" si="32"/>
        <v>1.7699115044247788</v>
      </c>
      <c r="J217" s="52">
        <v>0</v>
      </c>
      <c r="K217" s="42">
        <f t="shared" si="33"/>
        <v>0</v>
      </c>
      <c r="L217" s="62">
        <v>0</v>
      </c>
      <c r="M217" s="42">
        <f t="shared" si="34"/>
        <v>0</v>
      </c>
      <c r="N217" s="41">
        <v>0</v>
      </c>
      <c r="O217" s="43">
        <f t="shared" si="35"/>
        <v>0</v>
      </c>
      <c r="P217" s="44">
        <f>SUM(H217)+J217+L217+N217</f>
        <v>2</v>
      </c>
      <c r="Q217" s="42">
        <f t="shared" si="36"/>
        <v>1.7699115044247788</v>
      </c>
      <c r="R217" s="93">
        <f>+L217+N217</f>
        <v>0</v>
      </c>
      <c r="S217" s="45">
        <f t="shared" si="37"/>
        <v>0</v>
      </c>
    </row>
    <row r="218" spans="1:19" ht="12.75">
      <c r="A218" s="47">
        <v>169</v>
      </c>
      <c r="B218" s="74" t="s">
        <v>185</v>
      </c>
      <c r="C218" s="76">
        <v>35.84099868593955</v>
      </c>
      <c r="D218" s="38">
        <v>158</v>
      </c>
      <c r="E218" s="39">
        <v>57</v>
      </c>
      <c r="F218" s="42">
        <f t="shared" si="29"/>
        <v>36.075949367088604</v>
      </c>
      <c r="G218" s="40">
        <f>30+28</f>
        <v>58</v>
      </c>
      <c r="H218" s="41">
        <v>0</v>
      </c>
      <c r="I218" s="42">
        <f t="shared" si="32"/>
        <v>0</v>
      </c>
      <c r="J218" s="41">
        <v>0</v>
      </c>
      <c r="K218" s="42">
        <f t="shared" si="33"/>
        <v>0</v>
      </c>
      <c r="L218" s="62">
        <v>0</v>
      </c>
      <c r="M218" s="42">
        <f t="shared" si="34"/>
        <v>0</v>
      </c>
      <c r="N218" s="41">
        <v>0</v>
      </c>
      <c r="O218" s="43">
        <f t="shared" si="35"/>
        <v>0</v>
      </c>
      <c r="P218" s="44">
        <f>SUM(H218)+J218+L218+N218</f>
        <v>0</v>
      </c>
      <c r="Q218" s="42">
        <f t="shared" si="36"/>
        <v>0</v>
      </c>
      <c r="R218" s="93">
        <f>+L218+N218</f>
        <v>0</v>
      </c>
      <c r="S218" s="45">
        <f t="shared" si="37"/>
        <v>0</v>
      </c>
    </row>
    <row r="219" spans="4:19" ht="12.75"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</row>
    <row r="220" spans="4:19" ht="12.75"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</row>
    <row r="221" spans="4:19" ht="12.75"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ht="14.25">
      <c r="A222" s="56" t="s">
        <v>188</v>
      </c>
      <c r="D222" s="55"/>
      <c r="E222" s="57"/>
      <c r="F222" s="58"/>
      <c r="G222" s="58"/>
      <c r="H222" s="58"/>
      <c r="I222" s="58"/>
      <c r="J222" s="68"/>
      <c r="K222" s="58"/>
      <c r="L222" s="63"/>
      <c r="M222" s="58"/>
      <c r="N222" s="58"/>
      <c r="S222" s="59"/>
    </row>
    <row r="223" spans="1:19" ht="14.25">
      <c r="A223" s="56" t="s">
        <v>199</v>
      </c>
      <c r="D223" s="55"/>
      <c r="E223" s="57"/>
      <c r="F223" s="58"/>
      <c r="G223" s="58"/>
      <c r="H223" s="58"/>
      <c r="I223" s="58"/>
      <c r="J223" s="68"/>
      <c r="K223" s="58"/>
      <c r="L223" s="63"/>
      <c r="M223" s="58"/>
      <c r="N223" s="58"/>
      <c r="S223" s="59"/>
    </row>
    <row r="224" spans="1:19" ht="14.25">
      <c r="A224" s="56" t="s">
        <v>186</v>
      </c>
      <c r="D224" s="55"/>
      <c r="E224" s="57"/>
      <c r="F224" s="58"/>
      <c r="G224" s="58"/>
      <c r="H224" s="58"/>
      <c r="I224" s="58"/>
      <c r="J224" s="68"/>
      <c r="K224" s="58"/>
      <c r="L224" s="63"/>
      <c r="M224" s="58"/>
      <c r="N224" s="58"/>
      <c r="S224" s="59"/>
    </row>
    <row r="225" spans="1:19" ht="12.75">
      <c r="A225" s="60"/>
      <c r="B225" s="60"/>
      <c r="C225" s="60"/>
      <c r="D225" s="60"/>
      <c r="E225" s="60"/>
      <c r="F225" s="61"/>
      <c r="G225" s="60"/>
      <c r="H225" s="60"/>
      <c r="I225" s="60"/>
      <c r="J225" s="69"/>
      <c r="K225" s="60"/>
      <c r="L225" s="60"/>
      <c r="M225" s="60"/>
      <c r="N225" s="60"/>
      <c r="O225" s="60"/>
      <c r="P225" s="60"/>
      <c r="Q225" s="60"/>
      <c r="R225" s="60"/>
      <c r="S225" s="60"/>
    </row>
  </sheetData>
  <printOptions/>
  <pageMargins left="0.6" right="0" top="0.5" bottom="0.75" header="0.5" footer="0.5"/>
  <pageSetup horizontalDpi="600" verticalDpi="600" orientation="landscape" paperSize="5" r:id="rId1"/>
  <headerFooter alignWithMargins="0">
    <oddFooter>&amp;CPage &amp;P of &amp;N</oddFooter>
  </headerFooter>
  <rowBreaks count="5" manualBreakCount="5">
    <brk id="41" max="255" man="1"/>
    <brk id="82" max="255" man="1"/>
    <brk id="123" max="255" man="1"/>
    <brk id="164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frostk</cp:lastModifiedBy>
  <cp:lastPrinted>2003-04-17T14:42:43Z</cp:lastPrinted>
  <dcterms:created xsi:type="dcterms:W3CDTF">2002-09-26T19:01:43Z</dcterms:created>
  <dcterms:modified xsi:type="dcterms:W3CDTF">2003-04-22T14:48:53Z</dcterms:modified>
  <cp:category/>
  <cp:version/>
  <cp:contentType/>
  <cp:contentStatus/>
</cp:coreProperties>
</file>