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8595" activeTab="0"/>
  </bookViews>
  <sheets>
    <sheet name="MTPPRSchedule" sheetId="1" r:id="rId1"/>
    <sheet name="ExtendedSheet" sheetId="2" r:id="rId2"/>
  </sheets>
  <definedNames>
    <definedName name="_xlnm.Print_Area" localSheetId="1">'ExtendedSheet'!$A$4:$M$58</definedName>
    <definedName name="_xlnm.Print_Area" localSheetId="0">'MTPPRSchedule'!$A$4:$M$58</definedName>
  </definedNames>
  <calcPr fullCalcOnLoad="1"/>
</workbook>
</file>

<file path=xl/sharedStrings.xml><?xml version="1.0" encoding="utf-8"?>
<sst xmlns="http://schemas.openxmlformats.org/spreadsheetml/2006/main" count="478" uniqueCount="64">
  <si>
    <t>MTPPR</t>
  </si>
  <si>
    <t>Start</t>
  </si>
  <si>
    <t>End</t>
  </si>
  <si>
    <t>Due</t>
  </si>
  <si>
    <t>Name:</t>
  </si>
  <si>
    <t>Admit Date:</t>
  </si>
  <si>
    <t>30 Day:</t>
  </si>
  <si>
    <t>Reporting Period</t>
  </si>
  <si>
    <t>90 Day:</t>
  </si>
  <si>
    <t>180 Day:</t>
  </si>
  <si>
    <t>270 Day:</t>
  </si>
  <si>
    <t>N/A</t>
  </si>
  <si>
    <t>900 Day:</t>
  </si>
  <si>
    <t>990 Day:</t>
  </si>
  <si>
    <t>1080 Day:</t>
  </si>
  <si>
    <t>1170 Day:</t>
  </si>
  <si>
    <t>ITP Review Window</t>
  </si>
  <si>
    <t>Treatment Plan Authorization Due</t>
  </si>
  <si>
    <t>MTPPR Report Period</t>
  </si>
  <si>
    <t>TP Review Window</t>
  </si>
  <si>
    <t>to</t>
  </si>
  <si>
    <t xml:space="preserve">to </t>
  </si>
  <si>
    <t>Plan Due</t>
  </si>
  <si>
    <t>Plan Due:</t>
  </si>
  <si>
    <t>810 Day</t>
  </si>
  <si>
    <t>720 Day</t>
  </si>
  <si>
    <t>630 Day</t>
  </si>
  <si>
    <t>540 Day</t>
  </si>
  <si>
    <t>450 Day</t>
  </si>
  <si>
    <t>360 Day</t>
  </si>
  <si>
    <t>1260 Day</t>
  </si>
  <si>
    <t>1350 Day</t>
  </si>
  <si>
    <t>1440 Day</t>
  </si>
  <si>
    <t>1530 Day</t>
  </si>
  <si>
    <t>1620 Day</t>
  </si>
  <si>
    <t>1710 Day</t>
  </si>
  <si>
    <t>Initial</t>
  </si>
  <si>
    <t>Additional Quarters:</t>
  </si>
  <si>
    <t>ü</t>
  </si>
  <si>
    <t>F</t>
  </si>
  <si>
    <t>ì</t>
  </si>
  <si>
    <t>DOA:</t>
  </si>
  <si>
    <t>1800 Day:</t>
  </si>
  <si>
    <t>1890 Day:</t>
  </si>
  <si>
    <t>1980 Day:</t>
  </si>
  <si>
    <t>2070 Day</t>
  </si>
  <si>
    <t>2160 Day</t>
  </si>
  <si>
    <t>2250 Day</t>
  </si>
  <si>
    <t>2340 Day</t>
  </si>
  <si>
    <t>2430 Day</t>
  </si>
  <si>
    <t>2520 Day</t>
  </si>
  <si>
    <t>2610 Day:</t>
  </si>
  <si>
    <t>2700 Day:</t>
  </si>
  <si>
    <t>2790 Day:</t>
  </si>
  <si>
    <t>2880 Day:</t>
  </si>
  <si>
    <t>2970 Day</t>
  </si>
  <si>
    <t>3060 Day</t>
  </si>
  <si>
    <t>3150 Day</t>
  </si>
  <si>
    <t>3240 Day</t>
  </si>
  <si>
    <t>3330 Day</t>
  </si>
  <si>
    <t>3420 Day</t>
  </si>
  <si>
    <t>Continue MTPPR's below</t>
  </si>
  <si>
    <t>YEARS</t>
  </si>
  <si>
    <t>Begin New MTPPR schedule: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</si>
</sst>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dd/yy;@"/>
    <numFmt numFmtId="167" formatCode="mm/dd/yy"/>
  </numFmts>
  <fonts count="64">
    <font>
      <sz val="10"/>
      <name val="Arial"/>
      <family val="0"/>
    </font>
    <font>
      <sz val="8"/>
      <name val="Arial"/>
      <family val="0"/>
    </font>
    <font>
      <b/>
      <sz val="12"/>
      <name val="Times New Roman"/>
      <family val="1"/>
    </font>
    <font>
      <b/>
      <sz val="10"/>
      <name val="Times New Roman"/>
      <family val="1"/>
    </font>
    <font>
      <sz val="8"/>
      <color indexed="9"/>
      <name val="Times New Roman"/>
      <family val="1"/>
    </font>
    <font>
      <sz val="10"/>
      <name val="Times New Roman"/>
      <family val="1"/>
    </font>
    <font>
      <b/>
      <i/>
      <sz val="10"/>
      <name val="Times New Roman"/>
      <family val="1"/>
    </font>
    <font>
      <b/>
      <sz val="10"/>
      <color indexed="9"/>
      <name val="Times New Roman"/>
      <family val="1"/>
    </font>
    <font>
      <sz val="10"/>
      <color indexed="22"/>
      <name val="Times New Roman"/>
      <family val="1"/>
    </font>
    <font>
      <sz val="10"/>
      <color indexed="9"/>
      <name val="Times New Roman"/>
      <family val="1"/>
    </font>
    <font>
      <b/>
      <sz val="8"/>
      <color indexed="9"/>
      <name val="Times New Roman"/>
      <family val="1"/>
    </font>
    <font>
      <sz val="10"/>
      <color indexed="23"/>
      <name val="Times New Roman"/>
      <family val="1"/>
    </font>
    <font>
      <b/>
      <sz val="11"/>
      <name val="Times New Roman"/>
      <family val="1"/>
    </font>
    <font>
      <b/>
      <sz val="10"/>
      <color indexed="9"/>
      <name val="Wingdings"/>
      <family val="0"/>
    </font>
    <font>
      <b/>
      <sz val="7"/>
      <name val="Times New Roman"/>
      <family val="1"/>
    </font>
    <font>
      <sz val="22"/>
      <color indexed="9"/>
      <name val="Wingdings 3"/>
      <family val="1"/>
    </font>
    <font>
      <b/>
      <sz val="7"/>
      <color indexed="12"/>
      <name val="Times New Roman"/>
      <family val="1"/>
    </font>
    <font>
      <b/>
      <sz val="36"/>
      <color indexed="9"/>
      <name val="Wingdings"/>
      <family val="0"/>
    </font>
    <font>
      <b/>
      <sz val="10"/>
      <color indexed="22"/>
      <name val="Times New Roman"/>
      <family val="1"/>
    </font>
    <font>
      <b/>
      <sz val="11"/>
      <color indexed="9"/>
      <name val="Times New Roman"/>
      <family val="1"/>
    </font>
    <font>
      <b/>
      <sz val="10"/>
      <color indexed="22"/>
      <name val="ZapfDingbats"/>
      <family val="5"/>
    </font>
    <font>
      <b/>
      <sz val="10"/>
      <color indexed="22"/>
      <name val="Wingdings"/>
      <family val="0"/>
    </font>
    <font>
      <b/>
      <sz val="10"/>
      <color indexed="10"/>
      <name val="Times New Roman"/>
      <family val="1"/>
    </font>
    <font>
      <b/>
      <sz val="14"/>
      <color indexed="10"/>
      <name val="Times New Roman"/>
      <family val="1"/>
    </font>
    <font>
      <sz val="8"/>
      <name val="Times New Roman"/>
      <family val="1"/>
    </font>
    <font>
      <b/>
      <sz val="11"/>
      <color indexed="23"/>
      <name val="Times New Roman"/>
      <family val="1"/>
    </font>
    <font>
      <b/>
      <sz val="10"/>
      <color indexed="23"/>
      <name val="Times New Roman"/>
      <family val="1"/>
    </font>
    <font>
      <b/>
      <sz val="12"/>
      <color indexed="23"/>
      <name val="Times New Roman"/>
      <family val="1"/>
    </font>
    <font>
      <b/>
      <sz val="10"/>
      <name val="Wingdings"/>
      <family val="0"/>
    </font>
    <font>
      <sz val="10"/>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8"/>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4">
    <xf numFmtId="0" fontId="0" fillId="0" borderId="0" xfId="0" applyAlignment="1">
      <alignment/>
    </xf>
    <xf numFmtId="0" fontId="3" fillId="0" borderId="0" xfId="0" applyFont="1" applyAlignment="1">
      <alignment horizontal="right"/>
    </xf>
    <xf numFmtId="165" fontId="4" fillId="0" borderId="0" xfId="0" applyNumberFormat="1" applyFont="1" applyAlignment="1">
      <alignment/>
    </xf>
    <xf numFmtId="0" fontId="5" fillId="0" borderId="0" xfId="0" applyFont="1" applyAlignment="1">
      <alignment/>
    </xf>
    <xf numFmtId="0" fontId="5" fillId="0" borderId="0" xfId="0" applyFont="1" applyAlignment="1">
      <alignment horizontal="center"/>
    </xf>
    <xf numFmtId="165" fontId="5" fillId="0" borderId="0" xfId="0" applyNumberFormat="1" applyFont="1" applyAlignment="1">
      <alignment horizontal="center"/>
    </xf>
    <xf numFmtId="1" fontId="5" fillId="0" borderId="0" xfId="0" applyNumberFormat="1" applyFont="1" applyFill="1" applyAlignment="1">
      <alignment horizontal="center"/>
    </xf>
    <xf numFmtId="1" fontId="5" fillId="0" borderId="0" xfId="0" applyNumberFormat="1" applyFont="1" applyAlignment="1">
      <alignment/>
    </xf>
    <xf numFmtId="0" fontId="5" fillId="0" borderId="0" xfId="0" applyFont="1" applyAlignment="1">
      <alignment horizontal="right"/>
    </xf>
    <xf numFmtId="2" fontId="5" fillId="0" borderId="0" xfId="0" applyNumberFormat="1" applyFont="1" applyAlignment="1">
      <alignment horizontal="center"/>
    </xf>
    <xf numFmtId="165" fontId="3" fillId="0" borderId="10" xfId="0" applyNumberFormat="1" applyFont="1" applyBorder="1" applyAlignment="1">
      <alignment horizontal="center"/>
    </xf>
    <xf numFmtId="0" fontId="3" fillId="0" borderId="0" xfId="0" applyFont="1" applyBorder="1" applyAlignment="1">
      <alignment horizontal="left" wrapText="1"/>
    </xf>
    <xf numFmtId="2" fontId="5" fillId="0" borderId="11" xfId="0" applyNumberFormat="1" applyFont="1" applyBorder="1" applyAlignment="1">
      <alignment horizontal="center"/>
    </xf>
    <xf numFmtId="165" fontId="3" fillId="0" borderId="12" xfId="0" applyNumberFormat="1" applyFont="1" applyBorder="1" applyAlignment="1">
      <alignment horizontal="center" wrapText="1"/>
    </xf>
    <xf numFmtId="165" fontId="3" fillId="0" borderId="13" xfId="0" applyNumberFormat="1" applyFont="1" applyBorder="1" applyAlignment="1">
      <alignment horizontal="center"/>
    </xf>
    <xf numFmtId="165" fontId="5" fillId="0" borderId="13" xfId="0" applyNumberFormat="1" applyFont="1" applyBorder="1" applyAlignment="1">
      <alignment horizontal="center"/>
    </xf>
    <xf numFmtId="2" fontId="8" fillId="33" borderId="0" xfId="0" applyNumberFormat="1" applyFont="1" applyFill="1" applyAlignment="1">
      <alignment horizontal="center"/>
    </xf>
    <xf numFmtId="1" fontId="9" fillId="0" borderId="0" xfId="0" applyNumberFormat="1" applyFont="1" applyFill="1" applyAlignment="1">
      <alignment horizontal="center"/>
    </xf>
    <xf numFmtId="165" fontId="3" fillId="0" borderId="13" xfId="0" applyNumberFormat="1" applyFont="1" applyBorder="1" applyAlignment="1">
      <alignment/>
    </xf>
    <xf numFmtId="165" fontId="5" fillId="33" borderId="0" xfId="0" applyNumberFormat="1" applyFont="1" applyFill="1" applyBorder="1" applyAlignment="1">
      <alignment/>
    </xf>
    <xf numFmtId="2" fontId="9" fillId="0" borderId="0" xfId="0" applyNumberFormat="1" applyFont="1" applyFill="1" applyBorder="1" applyAlignment="1">
      <alignment horizontal="center"/>
    </xf>
    <xf numFmtId="165" fontId="5" fillId="0" borderId="0" xfId="0" applyNumberFormat="1" applyFont="1" applyBorder="1" applyAlignment="1">
      <alignment horizontal="center"/>
    </xf>
    <xf numFmtId="2" fontId="9" fillId="0" borderId="0" xfId="0" applyNumberFormat="1" applyFont="1" applyFill="1" applyAlignment="1">
      <alignment horizontal="center"/>
    </xf>
    <xf numFmtId="2" fontId="5" fillId="33" borderId="0" xfId="0" applyNumberFormat="1" applyFont="1" applyFill="1" applyAlignment="1">
      <alignment horizontal="center"/>
    </xf>
    <xf numFmtId="165" fontId="5" fillId="0" borderId="0" xfId="0" applyNumberFormat="1" applyFont="1" applyAlignment="1">
      <alignment/>
    </xf>
    <xf numFmtId="165" fontId="6" fillId="0" borderId="0" xfId="0" applyNumberFormat="1" applyFont="1" applyBorder="1" applyAlignment="1">
      <alignment/>
    </xf>
    <xf numFmtId="1" fontId="9" fillId="0" borderId="0" xfId="0" applyNumberFormat="1" applyFont="1" applyAlignment="1">
      <alignment horizontal="center"/>
    </xf>
    <xf numFmtId="165" fontId="10" fillId="0" borderId="0" xfId="0" applyNumberFormat="1" applyFont="1" applyBorder="1" applyAlignment="1">
      <alignment wrapText="1"/>
    </xf>
    <xf numFmtId="1" fontId="11" fillId="0" borderId="0" xfId="0" applyNumberFormat="1" applyFont="1" applyFill="1" applyAlignment="1">
      <alignment horizontal="center"/>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165" fontId="3" fillId="33" borderId="0" xfId="0" applyNumberFormat="1" applyFont="1" applyFill="1" applyBorder="1" applyAlignment="1">
      <alignment/>
    </xf>
    <xf numFmtId="165" fontId="5" fillId="0" borderId="14" xfId="0" applyNumberFormat="1" applyFont="1" applyBorder="1" applyAlignment="1">
      <alignment horizontal="center"/>
    </xf>
    <xf numFmtId="165" fontId="10" fillId="0" borderId="0" xfId="0" applyNumberFormat="1" applyFont="1" applyBorder="1" applyAlignment="1">
      <alignment vertical="center" wrapText="1"/>
    </xf>
    <xf numFmtId="1" fontId="9"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165" fontId="3" fillId="33" borderId="10" xfId="0" applyNumberFormat="1" applyFont="1" applyFill="1" applyBorder="1" applyAlignment="1">
      <alignment horizontal="center" wrapText="1"/>
    </xf>
    <xf numFmtId="165" fontId="3" fillId="33" borderId="10" xfId="0" applyNumberFormat="1" applyFont="1" applyFill="1" applyBorder="1" applyAlignment="1">
      <alignment horizontal="center"/>
    </xf>
    <xf numFmtId="165" fontId="10" fillId="0" borderId="15" xfId="0" applyNumberFormat="1" applyFont="1" applyBorder="1" applyAlignment="1">
      <alignment horizontal="center" vertical="center"/>
    </xf>
    <xf numFmtId="165" fontId="10" fillId="0" borderId="15" xfId="0" applyNumberFormat="1" applyFont="1" applyBorder="1" applyAlignment="1">
      <alignment vertical="center"/>
    </xf>
    <xf numFmtId="165" fontId="10" fillId="0" borderId="15" xfId="0" applyNumberFormat="1" applyFont="1" applyBorder="1" applyAlignment="1">
      <alignment horizontal="left" vertical="center"/>
    </xf>
    <xf numFmtId="165" fontId="3" fillId="33" borderId="16" xfId="0" applyNumberFormat="1" applyFont="1" applyFill="1" applyBorder="1" applyAlignment="1">
      <alignment horizontal="center" wrapText="1"/>
    </xf>
    <xf numFmtId="165" fontId="10" fillId="0" borderId="15" xfId="0" applyNumberFormat="1" applyFont="1" applyBorder="1" applyAlignment="1">
      <alignment horizontal="right" vertical="center"/>
    </xf>
    <xf numFmtId="0" fontId="2" fillId="0" borderId="0" xfId="0" applyFont="1" applyAlignment="1">
      <alignment horizontal="right"/>
    </xf>
    <xf numFmtId="165" fontId="3" fillId="0" borderId="0" xfId="0" applyNumberFormat="1" applyFont="1" applyBorder="1" applyAlignment="1">
      <alignment horizontal="center" wrapText="1"/>
    </xf>
    <xf numFmtId="165" fontId="3" fillId="0" borderId="0" xfId="0" applyNumberFormat="1" applyFont="1" applyBorder="1" applyAlignment="1">
      <alignment horizontal="center"/>
    </xf>
    <xf numFmtId="165" fontId="7" fillId="0" borderId="0" xfId="0" applyNumberFormat="1" applyFont="1" applyFill="1" applyBorder="1" applyAlignment="1">
      <alignment horizontal="center" wrapText="1"/>
    </xf>
    <xf numFmtId="2" fontId="5" fillId="0" borderId="0" xfId="0" applyNumberFormat="1" applyFont="1" applyBorder="1" applyAlignment="1">
      <alignment horizontal="center"/>
    </xf>
    <xf numFmtId="165" fontId="8" fillId="33" borderId="13" xfId="0" applyNumberFormat="1" applyFont="1" applyFill="1" applyBorder="1" applyAlignment="1">
      <alignment horizontal="center"/>
    </xf>
    <xf numFmtId="165" fontId="8" fillId="33" borderId="13" xfId="0" applyNumberFormat="1" applyFont="1" applyFill="1" applyBorder="1" applyAlignment="1">
      <alignment/>
    </xf>
    <xf numFmtId="165" fontId="10" fillId="0" borderId="17" xfId="0" applyNumberFormat="1" applyFont="1" applyBorder="1" applyAlignment="1">
      <alignment horizontal="center" vertical="center"/>
    </xf>
    <xf numFmtId="165" fontId="10" fillId="0" borderId="0" xfId="0" applyNumberFormat="1" applyFont="1" applyBorder="1" applyAlignment="1">
      <alignment horizontal="center" vertical="center"/>
    </xf>
    <xf numFmtId="165" fontId="10" fillId="0" borderId="0" xfId="0" applyNumberFormat="1" applyFont="1" applyBorder="1" applyAlignment="1">
      <alignment vertical="center"/>
    </xf>
    <xf numFmtId="165" fontId="3" fillId="33" borderId="13" xfId="0" applyNumberFormat="1" applyFont="1" applyFill="1" applyBorder="1" applyAlignment="1">
      <alignment horizontal="center" wrapText="1"/>
    </xf>
    <xf numFmtId="165" fontId="3" fillId="33" borderId="13" xfId="0" applyNumberFormat="1" applyFont="1" applyFill="1" applyBorder="1" applyAlignment="1">
      <alignment horizontal="center"/>
    </xf>
    <xf numFmtId="165" fontId="10" fillId="0" borderId="0" xfId="0" applyNumberFormat="1" applyFont="1" applyBorder="1" applyAlignment="1">
      <alignment horizontal="center"/>
    </xf>
    <xf numFmtId="165" fontId="10" fillId="0" borderId="0" xfId="0" applyNumberFormat="1" applyFont="1" applyBorder="1" applyAlignment="1">
      <alignment/>
    </xf>
    <xf numFmtId="165" fontId="10" fillId="0" borderId="17" xfId="0" applyNumberFormat="1" applyFont="1" applyBorder="1" applyAlignment="1">
      <alignment horizontal="left" vertical="center"/>
    </xf>
    <xf numFmtId="165" fontId="10" fillId="0" borderId="0" xfId="0" applyNumberFormat="1" applyFont="1" applyBorder="1" applyAlignment="1">
      <alignment horizontal="left" vertical="center"/>
    </xf>
    <xf numFmtId="165" fontId="13" fillId="0" borderId="0" xfId="0" applyNumberFormat="1" applyFont="1" applyBorder="1" applyAlignment="1">
      <alignment/>
    </xf>
    <xf numFmtId="165" fontId="15" fillId="0" borderId="0" xfId="0" applyNumberFormat="1" applyFont="1" applyAlignment="1">
      <alignment horizontal="center" vertical="center"/>
    </xf>
    <xf numFmtId="0" fontId="9" fillId="0" borderId="0" xfId="0" applyFont="1" applyFill="1" applyAlignment="1">
      <alignment horizontal="left"/>
    </xf>
    <xf numFmtId="166" fontId="10" fillId="0" borderId="0" xfId="0" applyNumberFormat="1" applyFont="1" applyFill="1" applyAlignment="1">
      <alignment horizontal="left"/>
    </xf>
    <xf numFmtId="1" fontId="9" fillId="0" borderId="0" xfId="0" applyNumberFormat="1" applyFont="1" applyFill="1" applyAlignment="1">
      <alignment horizontal="left" vertical="center"/>
    </xf>
    <xf numFmtId="2" fontId="9" fillId="0" borderId="0" xfId="0" applyNumberFormat="1" applyFont="1" applyFill="1" applyBorder="1" applyAlignment="1">
      <alignment horizontal="left"/>
    </xf>
    <xf numFmtId="1" fontId="9" fillId="0" borderId="0" xfId="0" applyNumberFormat="1" applyFont="1" applyAlignment="1">
      <alignment horizontal="left" vertical="center"/>
    </xf>
    <xf numFmtId="2" fontId="9" fillId="0" borderId="0" xfId="0" applyNumberFormat="1" applyFont="1" applyFill="1" applyAlignment="1">
      <alignment horizontal="left"/>
    </xf>
    <xf numFmtId="0" fontId="9" fillId="0" borderId="0" xfId="0" applyFont="1" applyAlignment="1">
      <alignment horizontal="left"/>
    </xf>
    <xf numFmtId="165" fontId="2" fillId="0" borderId="0" xfId="0" applyNumberFormat="1" applyFont="1" applyAlignment="1" applyProtection="1">
      <alignment vertical="center"/>
      <protection locked="0"/>
    </xf>
    <xf numFmtId="0" fontId="16" fillId="0" borderId="0" xfId="0" applyNumberFormat="1" applyFont="1" applyAlignment="1">
      <alignment horizontal="right" wrapText="1"/>
    </xf>
    <xf numFmtId="0" fontId="16" fillId="0" borderId="0" xfId="0" applyFont="1" applyBorder="1" applyAlignment="1">
      <alignment horizontal="left" vertical="center" wrapText="1"/>
    </xf>
    <xf numFmtId="165" fontId="12" fillId="34" borderId="14" xfId="0" applyNumberFormat="1" applyFont="1" applyFill="1" applyBorder="1" applyAlignment="1" applyProtection="1">
      <alignment horizontal="center"/>
      <protection locked="0"/>
    </xf>
    <xf numFmtId="165" fontId="5" fillId="34" borderId="18" xfId="0" applyNumberFormat="1" applyFont="1" applyFill="1" applyBorder="1" applyAlignment="1" applyProtection="1">
      <alignment horizontal="center"/>
      <protection/>
    </xf>
    <xf numFmtId="0" fontId="2" fillId="34" borderId="19" xfId="0" applyFont="1" applyFill="1" applyBorder="1" applyAlignment="1" applyProtection="1">
      <alignment horizontal="center"/>
      <protection locked="0"/>
    </xf>
    <xf numFmtId="165" fontId="17" fillId="0" borderId="0" xfId="0" applyNumberFormat="1" applyFont="1" applyAlignment="1">
      <alignment horizontal="center" vertical="center"/>
    </xf>
    <xf numFmtId="165" fontId="2" fillId="0" borderId="20" xfId="0" applyNumberFormat="1" applyFont="1" applyBorder="1" applyAlignment="1">
      <alignment horizontal="right"/>
    </xf>
    <xf numFmtId="165" fontId="19" fillId="0" borderId="0" xfId="0" applyNumberFormat="1" applyFont="1" applyFill="1" applyBorder="1" applyAlignment="1" applyProtection="1">
      <alignment horizontal="center"/>
      <protection/>
    </xf>
    <xf numFmtId="165" fontId="8" fillId="33" borderId="0" xfId="0" applyNumberFormat="1" applyFont="1" applyFill="1" applyBorder="1" applyAlignment="1">
      <alignment horizontal="center"/>
    </xf>
    <xf numFmtId="2" fontId="8" fillId="33" borderId="0" xfId="0" applyNumberFormat="1" applyFont="1" applyFill="1" applyBorder="1" applyAlignment="1">
      <alignment horizontal="center"/>
    </xf>
    <xf numFmtId="165" fontId="20" fillId="33" borderId="0" xfId="0" applyNumberFormat="1" applyFont="1" applyFill="1" applyBorder="1" applyAlignment="1">
      <alignment horizontal="left"/>
    </xf>
    <xf numFmtId="165" fontId="18" fillId="33" borderId="0" xfId="0" applyNumberFormat="1" applyFont="1" applyFill="1" applyBorder="1" applyAlignment="1">
      <alignment horizontal="center"/>
    </xf>
    <xf numFmtId="165" fontId="18" fillId="33" borderId="0" xfId="0" applyNumberFormat="1" applyFont="1" applyFill="1" applyBorder="1" applyAlignment="1">
      <alignment/>
    </xf>
    <xf numFmtId="165" fontId="18" fillId="33" borderId="0" xfId="0" applyNumberFormat="1" applyFont="1" applyFill="1" applyBorder="1" applyAlignment="1">
      <alignment horizontal="center" wrapText="1"/>
    </xf>
    <xf numFmtId="165" fontId="21" fillId="33" borderId="0" xfId="0" applyNumberFormat="1" applyFont="1" applyFill="1" applyBorder="1" applyAlignment="1">
      <alignment/>
    </xf>
    <xf numFmtId="2" fontId="23" fillId="0" borderId="0" xfId="0" applyNumberFormat="1" applyFont="1" applyFill="1" applyAlignment="1">
      <alignment horizontal="center" wrapText="1"/>
    </xf>
    <xf numFmtId="0" fontId="22" fillId="35" borderId="0" xfId="0" applyNumberFormat="1" applyFont="1" applyFill="1" applyAlignment="1">
      <alignment wrapText="1"/>
    </xf>
    <xf numFmtId="0" fontId="24" fillId="0" borderId="0" xfId="0" applyFont="1" applyAlignment="1">
      <alignment horizontal="right" vertical="center" wrapText="1"/>
    </xf>
    <xf numFmtId="14" fontId="5" fillId="0" borderId="14" xfId="0" applyNumberFormat="1" applyFont="1" applyBorder="1" applyAlignment="1">
      <alignment/>
    </xf>
    <xf numFmtId="14" fontId="5" fillId="0" borderId="0" xfId="0" applyNumberFormat="1" applyFont="1" applyAlignment="1">
      <alignment/>
    </xf>
    <xf numFmtId="165" fontId="26" fillId="33" borderId="14" xfId="0" applyNumberFormat="1" applyFont="1" applyFill="1" applyBorder="1" applyAlignment="1">
      <alignment horizontal="center"/>
    </xf>
    <xf numFmtId="165" fontId="27" fillId="33" borderId="14" xfId="0" applyNumberFormat="1" applyFont="1" applyFill="1" applyBorder="1" applyAlignment="1" applyProtection="1">
      <alignment vertical="center"/>
      <protection/>
    </xf>
    <xf numFmtId="0" fontId="18" fillId="33" borderId="21" xfId="0" applyFont="1" applyFill="1" applyBorder="1" applyAlignment="1">
      <alignment horizontal="center"/>
    </xf>
    <xf numFmtId="165" fontId="8" fillId="33" borderId="17" xfId="0" applyNumberFormat="1" applyFont="1" applyFill="1" applyBorder="1" applyAlignment="1">
      <alignment horizontal="center"/>
    </xf>
    <xf numFmtId="2" fontId="8" fillId="33" borderId="17" xfId="0" applyNumberFormat="1" applyFont="1" applyFill="1" applyBorder="1" applyAlignment="1">
      <alignment horizontal="center"/>
    </xf>
    <xf numFmtId="0" fontId="8" fillId="33" borderId="22" xfId="0" applyFont="1" applyFill="1" applyBorder="1" applyAlignment="1">
      <alignment horizontal="right"/>
    </xf>
    <xf numFmtId="165" fontId="8" fillId="33" borderId="15" xfId="0" applyNumberFormat="1" applyFont="1" applyFill="1" applyBorder="1" applyAlignment="1">
      <alignment horizontal="center"/>
    </xf>
    <xf numFmtId="165" fontId="21" fillId="33" borderId="15" xfId="0" applyNumberFormat="1" applyFont="1" applyFill="1" applyBorder="1" applyAlignment="1">
      <alignment/>
    </xf>
    <xf numFmtId="165" fontId="8" fillId="33" borderId="23" xfId="0" applyNumberFormat="1" applyFont="1" applyFill="1" applyBorder="1" applyAlignment="1">
      <alignment horizontal="center"/>
    </xf>
    <xf numFmtId="0" fontId="18" fillId="33" borderId="24" xfId="0" applyFont="1" applyFill="1" applyBorder="1" applyAlignment="1">
      <alignment horizontal="center"/>
    </xf>
    <xf numFmtId="165" fontId="18" fillId="33" borderId="11" xfId="0" applyNumberFormat="1" applyFont="1" applyFill="1" applyBorder="1" applyAlignment="1">
      <alignment/>
    </xf>
    <xf numFmtId="0" fontId="18" fillId="33" borderId="24" xfId="0" applyFont="1" applyFill="1" applyBorder="1" applyAlignment="1">
      <alignment horizontal="right"/>
    </xf>
    <xf numFmtId="165" fontId="18" fillId="33" borderId="11" xfId="0" applyNumberFormat="1" applyFont="1" applyFill="1" applyBorder="1" applyAlignment="1">
      <alignment horizontal="center"/>
    </xf>
    <xf numFmtId="165" fontId="8" fillId="33" borderId="11" xfId="0" applyNumberFormat="1" applyFont="1" applyFill="1" applyBorder="1" applyAlignment="1">
      <alignment horizontal="center"/>
    </xf>
    <xf numFmtId="165" fontId="28" fillId="0" borderId="0" xfId="0" applyNumberFormat="1" applyFont="1" applyAlignment="1">
      <alignment horizontal="left"/>
    </xf>
    <xf numFmtId="2" fontId="29" fillId="0" borderId="11" xfId="0" applyNumberFormat="1" applyFont="1" applyFill="1" applyBorder="1" applyAlignment="1">
      <alignment horizontal="center"/>
    </xf>
    <xf numFmtId="165" fontId="3" fillId="36" borderId="10" xfId="0" applyNumberFormat="1" applyFont="1" applyFill="1" applyBorder="1" applyAlignment="1">
      <alignment horizontal="center"/>
    </xf>
    <xf numFmtId="165" fontId="3" fillId="36" borderId="12" xfId="0" applyNumberFormat="1" applyFont="1" applyFill="1" applyBorder="1" applyAlignment="1">
      <alignment horizontal="center" wrapText="1"/>
    </xf>
    <xf numFmtId="0" fontId="14" fillId="0" borderId="0" xfId="0" applyNumberFormat="1" applyFont="1" applyAlignment="1">
      <alignment horizontal="right" wrapText="1"/>
    </xf>
    <xf numFmtId="0" fontId="14" fillId="0" borderId="0" xfId="0" applyFont="1" applyBorder="1" applyAlignment="1">
      <alignment horizontal="left" vertical="center" wrapText="1"/>
    </xf>
    <xf numFmtId="165" fontId="7" fillId="0" borderId="0" xfId="0" applyNumberFormat="1" applyFont="1" applyFill="1" applyBorder="1" applyAlignment="1">
      <alignment horizontal="center" wrapText="1"/>
    </xf>
    <xf numFmtId="165" fontId="3" fillId="0" borderId="25" xfId="0" applyNumberFormat="1" applyFont="1" applyBorder="1" applyAlignment="1">
      <alignment horizontal="center"/>
    </xf>
    <xf numFmtId="165" fontId="3" fillId="0" borderId="19" xfId="0" applyNumberFormat="1" applyFont="1" applyBorder="1" applyAlignment="1">
      <alignment horizontal="center"/>
    </xf>
    <xf numFmtId="0" fontId="3" fillId="0" borderId="0" xfId="0" applyFont="1" applyAlignment="1">
      <alignment horizontal="left" wrapText="1"/>
    </xf>
    <xf numFmtId="0" fontId="3" fillId="0" borderId="0" xfId="0" applyFont="1" applyBorder="1" applyAlignment="1">
      <alignment horizontal="left" wrapText="1"/>
    </xf>
    <xf numFmtId="0" fontId="6" fillId="0" borderId="0" xfId="0" applyFont="1" applyBorder="1" applyAlignment="1">
      <alignment horizontal="center"/>
    </xf>
    <xf numFmtId="165" fontId="10" fillId="0" borderId="0" xfId="0" applyNumberFormat="1" applyFont="1" applyBorder="1" applyAlignment="1">
      <alignment horizontal="right" vertical="center" wrapText="1"/>
    </xf>
    <xf numFmtId="165" fontId="7" fillId="0" borderId="24" xfId="0" applyNumberFormat="1" applyFont="1" applyFill="1" applyBorder="1" applyAlignment="1">
      <alignment horizontal="center" wrapText="1"/>
    </xf>
    <xf numFmtId="165" fontId="2" fillId="0" borderId="0" xfId="0" applyNumberFormat="1" applyFont="1" applyAlignment="1">
      <alignment horizontal="right"/>
    </xf>
    <xf numFmtId="0" fontId="12" fillId="34" borderId="26" xfId="0" applyFont="1" applyFill="1" applyBorder="1" applyAlignment="1" applyProtection="1">
      <alignment horizontal="center"/>
      <protection locked="0"/>
    </xf>
    <xf numFmtId="0" fontId="12" fillId="34" borderId="27" xfId="0" applyFont="1" applyFill="1" applyBorder="1" applyAlignment="1" applyProtection="1">
      <alignment horizontal="center"/>
      <protection locked="0"/>
    </xf>
    <xf numFmtId="0" fontId="12" fillId="34" borderId="28" xfId="0" applyFont="1" applyFill="1" applyBorder="1" applyAlignment="1" applyProtection="1">
      <alignment horizontal="center"/>
      <protection locked="0"/>
    </xf>
    <xf numFmtId="0" fontId="3" fillId="34" borderId="25" xfId="0" applyFont="1" applyFill="1" applyBorder="1" applyAlignment="1">
      <alignment horizontal="right"/>
    </xf>
    <xf numFmtId="0" fontId="3" fillId="34" borderId="18" xfId="0" applyFont="1" applyFill="1" applyBorder="1" applyAlignment="1">
      <alignment horizontal="right"/>
    </xf>
    <xf numFmtId="165" fontId="6" fillId="0" borderId="15" xfId="0" applyNumberFormat="1" applyFont="1" applyBorder="1" applyAlignment="1">
      <alignment horizontal="center"/>
    </xf>
    <xf numFmtId="165" fontId="10" fillId="0" borderId="0" xfId="0" applyNumberFormat="1" applyFont="1" applyBorder="1" applyAlignment="1">
      <alignment horizontal="right" wrapText="1"/>
    </xf>
    <xf numFmtId="165" fontId="3" fillId="33" borderId="17" xfId="0" applyNumberFormat="1" applyFont="1" applyFill="1" applyBorder="1" applyAlignment="1">
      <alignment horizontal="center"/>
    </xf>
    <xf numFmtId="165" fontId="3" fillId="33" borderId="29" xfId="0" applyNumberFormat="1" applyFont="1" applyFill="1" applyBorder="1" applyAlignment="1">
      <alignment horizontal="center"/>
    </xf>
    <xf numFmtId="0" fontId="25" fillId="33" borderId="26" xfId="0" applyFont="1" applyFill="1" applyBorder="1" applyAlignment="1" applyProtection="1">
      <alignment horizontal="center"/>
      <protection/>
    </xf>
    <xf numFmtId="0" fontId="25" fillId="33" borderId="27" xfId="0" applyFont="1" applyFill="1" applyBorder="1" applyAlignment="1" applyProtection="1">
      <alignment horizontal="center"/>
      <protection/>
    </xf>
    <xf numFmtId="0" fontId="25" fillId="33" borderId="28" xfId="0" applyFont="1" applyFill="1" applyBorder="1" applyAlignment="1" applyProtection="1">
      <alignment horizontal="center"/>
      <protection/>
    </xf>
    <xf numFmtId="0" fontId="22" fillId="0" borderId="0" xfId="0" applyNumberFormat="1" applyFont="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7">
    <dxf>
      <font>
        <b/>
        <i val="0"/>
        <color indexed="10"/>
      </font>
    </dxf>
    <dxf>
      <font>
        <b/>
        <i val="0"/>
        <color indexed="10"/>
      </font>
    </dxf>
    <dxf>
      <font>
        <color indexed="9"/>
      </font>
      <fill>
        <patternFill>
          <bgColor indexed="9"/>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dxf>
    <dxf>
      <fill>
        <patternFill>
          <bgColor indexed="8"/>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22"/>
      </font>
      <fill>
        <patternFill>
          <bgColor indexed="22"/>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dxf>
    <dxf>
      <font>
        <color indexed="8"/>
      </font>
    </dxf>
    <dxf>
      <font>
        <color indexed="12"/>
      </font>
    </dxf>
    <dxf>
      <font>
        <color indexed="12"/>
      </font>
    </dxf>
    <dxf>
      <font>
        <b/>
        <i val="0"/>
        <color indexed="10"/>
      </font>
    </dxf>
    <dxf>
      <font>
        <b/>
        <i val="0"/>
        <color indexed="10"/>
      </font>
    </dxf>
    <dxf>
      <font>
        <b/>
        <i val="0"/>
        <color indexed="10"/>
      </font>
    </dxf>
    <dxf>
      <font>
        <b/>
        <i val="0"/>
        <color indexed="10"/>
      </font>
    </dxf>
    <dxf>
      <font>
        <b/>
        <i val="0"/>
        <color indexed="10"/>
      </font>
    </dxf>
    <dxf>
      <font>
        <b/>
        <i val="0"/>
        <color indexed="9"/>
      </font>
    </dxf>
    <dxf>
      <font>
        <color indexed="12"/>
      </font>
    </dxf>
    <dxf>
      <font>
        <color indexed="9"/>
      </font>
      <fill>
        <patternFill patternType="none">
          <bgColor indexed="65"/>
        </patternFill>
      </fill>
      <border>
        <left/>
        <right/>
        <top/>
        <bottom/>
      </border>
    </dxf>
    <dxf>
      <font>
        <color indexed="9"/>
      </font>
    </dxf>
    <dxf>
      <font>
        <color indexed="22"/>
      </font>
      <fill>
        <patternFill>
          <bgColor indexed="22"/>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8"/>
      </font>
      <fill>
        <patternFill>
          <bgColor indexed="44"/>
        </patternFill>
      </fill>
      <border>
        <left style="thin"/>
        <right style="thin"/>
        <top style="thin"/>
        <bottom style="thin"/>
      </border>
    </dxf>
    <dxf>
      <font>
        <color indexed="22"/>
      </font>
      <fill>
        <patternFill>
          <bgColor indexed="22"/>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9"/>
      </font>
    </dxf>
    <dxf>
      <font>
        <color indexed="8"/>
      </font>
    </dxf>
    <dxf>
      <font>
        <color indexed="12"/>
      </font>
    </dxf>
    <dxf>
      <font>
        <color indexed="12"/>
      </font>
    </dxf>
    <dxf>
      <font>
        <b/>
        <i val="0"/>
        <color indexed="10"/>
      </font>
    </dxf>
    <dxf>
      <font>
        <b/>
        <i val="0"/>
        <color indexed="10"/>
      </font>
    </dxf>
    <dxf>
      <font>
        <b/>
        <i val="0"/>
        <color indexed="10"/>
      </font>
    </dxf>
    <dxf>
      <font>
        <color rgb="FF000000"/>
      </font>
      <fill>
        <patternFill>
          <bgColor rgb="FF99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2:U59"/>
  <sheetViews>
    <sheetView showGridLines="0" tabSelected="1" zoomScale="130" zoomScaleNormal="130" zoomScalePageLayoutView="0" workbookViewId="0" topLeftCell="A1">
      <pane ySplit="7" topLeftCell="A8" activePane="bottomLeft" state="frozen"/>
      <selection pane="topLeft" activeCell="A1" sqref="A1"/>
      <selection pane="bottomLeft" activeCell="G4" sqref="G4"/>
    </sheetView>
  </sheetViews>
  <sheetFormatPr defaultColWidth="9.140625" defaultRowHeight="12.75"/>
  <cols>
    <col min="1" max="1" width="8.8515625" style="8" customWidth="1"/>
    <col min="2" max="2" width="8.140625" style="5" customWidth="1"/>
    <col min="3" max="3" width="3.140625" style="9" customWidth="1"/>
    <col min="4" max="5" width="8.140625" style="5" customWidth="1"/>
    <col min="6" max="6" width="8.140625" style="24" customWidth="1"/>
    <col min="7" max="7" width="8.8515625" style="4" customWidth="1"/>
    <col min="8" max="8" width="9.140625" style="3" customWidth="1"/>
    <col min="9" max="9" width="8.140625" style="3" customWidth="1"/>
    <col min="10" max="10" width="2.421875" style="3" customWidth="1"/>
    <col min="11" max="11" width="8.140625" style="4" customWidth="1"/>
    <col min="12" max="12" width="8.140625" style="5" customWidth="1"/>
    <col min="13" max="13" width="8.140625" style="3" customWidth="1"/>
    <col min="14" max="14" width="7.57421875" style="6" customWidth="1"/>
    <col min="15" max="15" width="9.140625" style="4" customWidth="1"/>
    <col min="16" max="16" width="16.140625" style="3" customWidth="1"/>
    <col min="17" max="17" width="10.00390625" style="3" customWidth="1"/>
    <col min="18" max="18" width="9.140625" style="3" customWidth="1"/>
    <col min="19" max="19" width="7.140625" style="3" customWidth="1"/>
    <col min="20" max="20" width="14.57421875" style="3" customWidth="1"/>
    <col min="21" max="21" width="10.00390625" style="3" customWidth="1"/>
    <col min="22" max="16384" width="9.140625" style="3" customWidth="1"/>
  </cols>
  <sheetData>
    <row r="1" ht="5.25" customHeight="1" thickBot="1"/>
    <row r="2" spans="1:21" ht="34.5" customHeight="1" thickBot="1" thickTop="1">
      <c r="A2" s="110">
        <f ca="1">IF(TODAY()&gt;40421,"",IF(G4&gt;37256,"To determine the first report period, enter the reporting period END DATE of the last MTPPR entered into the system in blue box to the right:",""))</f>
      </c>
      <c r="B2" s="110"/>
      <c r="C2" s="110"/>
      <c r="D2" s="110"/>
      <c r="E2" s="110"/>
      <c r="F2" s="77" t="s">
        <v>39</v>
      </c>
      <c r="G2" s="71"/>
      <c r="H2" s="111">
        <f ca="1">IF(TODAY()&gt;40421,"",IF(G4&gt;37256,"The START DATE of your transition MTPPR reporting period is the date to the left plus one day.  The END DATE for that period is noted in blue in the table below",""))</f>
      </c>
      <c r="I2" s="111"/>
      <c r="J2" s="111"/>
      <c r="K2" s="111"/>
      <c r="L2" s="111"/>
      <c r="M2" s="111"/>
      <c r="N2" s="111"/>
      <c r="Q2" s="3">
        <f>COUNTBLANK(A2)</f>
        <v>1</v>
      </c>
      <c r="T2" s="89" t="s">
        <v>63</v>
      </c>
      <c r="U2" s="90">
        <v>40354</v>
      </c>
    </row>
    <row r="3" spans="1:14" ht="5.25" customHeight="1" thickBot="1" thickTop="1">
      <c r="A3" s="72"/>
      <c r="B3" s="72"/>
      <c r="C3" s="72"/>
      <c r="D3" s="72"/>
      <c r="E3" s="72"/>
      <c r="F3" s="63"/>
      <c r="G3" s="71"/>
      <c r="H3" s="73"/>
      <c r="I3" s="73"/>
      <c r="J3" s="73"/>
      <c r="K3" s="73"/>
      <c r="L3" s="73"/>
      <c r="M3" s="73"/>
      <c r="N3" s="73"/>
    </row>
    <row r="4" spans="1:19" ht="17.25" thickBot="1" thickTop="1">
      <c r="A4" s="46" t="s">
        <v>4</v>
      </c>
      <c r="B4" s="121"/>
      <c r="C4" s="122"/>
      <c r="D4" s="123"/>
      <c r="E4" s="120" t="s">
        <v>5</v>
      </c>
      <c r="F4" s="120"/>
      <c r="G4" s="74"/>
      <c r="H4" s="2">
        <f>G4-16</f>
        <v>-16</v>
      </c>
      <c r="I4" s="124" t="s">
        <v>37</v>
      </c>
      <c r="J4" s="125"/>
      <c r="K4" s="125"/>
      <c r="L4" s="75"/>
      <c r="M4" s="76">
        <v>1</v>
      </c>
      <c r="P4" s="7"/>
      <c r="Q4" s="24">
        <f ca="1">TODAY()</f>
        <v>42634</v>
      </c>
      <c r="S4" s="24" t="e">
        <f>D18+30</f>
        <v>#VALUE!</v>
      </c>
    </row>
    <row r="5" spans="4:14" ht="6.75" customHeight="1" thickTop="1">
      <c r="D5" s="126"/>
      <c r="E5" s="126"/>
      <c r="F5" s="126"/>
      <c r="H5" s="117"/>
      <c r="I5" s="117"/>
      <c r="J5" s="117"/>
      <c r="L5" s="25"/>
      <c r="M5" s="25"/>
      <c r="N5" s="25"/>
    </row>
    <row r="6" spans="1:17" ht="12.75" customHeight="1">
      <c r="A6" s="115" t="s">
        <v>17</v>
      </c>
      <c r="B6" s="115"/>
      <c r="D6" s="108" t="s">
        <v>0</v>
      </c>
      <c r="E6" s="113" t="s">
        <v>7</v>
      </c>
      <c r="F6" s="114"/>
      <c r="G6" s="119" t="s">
        <v>18</v>
      </c>
      <c r="H6" s="116" t="s">
        <v>17</v>
      </c>
      <c r="I6" s="116"/>
      <c r="J6" s="107"/>
      <c r="K6" s="108" t="s">
        <v>0</v>
      </c>
      <c r="L6" s="113" t="s">
        <v>7</v>
      </c>
      <c r="M6" s="114"/>
      <c r="N6" s="112" t="s">
        <v>18</v>
      </c>
      <c r="O6" s="3"/>
      <c r="Q6" s="24">
        <f>Q4-30</f>
        <v>42604</v>
      </c>
    </row>
    <row r="7" spans="1:15" ht="11.25" customHeight="1">
      <c r="A7" s="116"/>
      <c r="B7" s="116"/>
      <c r="D7" s="109" t="s">
        <v>3</v>
      </c>
      <c r="E7" s="14" t="s">
        <v>1</v>
      </c>
      <c r="F7" s="14" t="s">
        <v>2</v>
      </c>
      <c r="G7" s="119"/>
      <c r="H7" s="116"/>
      <c r="I7" s="116"/>
      <c r="J7" s="12"/>
      <c r="K7" s="109" t="s">
        <v>3</v>
      </c>
      <c r="L7" s="14" t="s">
        <v>1</v>
      </c>
      <c r="M7" s="14" t="s">
        <v>2</v>
      </c>
      <c r="N7" s="112"/>
      <c r="O7" s="3"/>
    </row>
    <row r="8" spans="1:15" ht="6" customHeight="1" thickBot="1">
      <c r="A8" s="11"/>
      <c r="B8" s="11"/>
      <c r="D8" s="47"/>
      <c r="E8" s="48"/>
      <c r="F8" s="48"/>
      <c r="G8" s="49"/>
      <c r="H8" s="11"/>
      <c r="I8" s="11"/>
      <c r="J8" s="50"/>
      <c r="K8" s="47"/>
      <c r="L8" s="48"/>
      <c r="M8" s="48"/>
      <c r="N8" s="49"/>
      <c r="O8" s="3"/>
    </row>
    <row r="9" spans="1:15" ht="12.75" customHeight="1" thickBot="1" thickTop="1">
      <c r="A9" s="31" t="s">
        <v>36</v>
      </c>
      <c r="B9" s="34">
        <f>G4</f>
        <v>0</v>
      </c>
      <c r="C9" s="16"/>
      <c r="D9" s="51"/>
      <c r="E9" s="51"/>
      <c r="F9" s="52"/>
      <c r="G9" s="64"/>
      <c r="H9" s="127" t="s">
        <v>19</v>
      </c>
      <c r="I9" s="127"/>
      <c r="J9" s="127"/>
      <c r="K9" s="27" t="str">
        <f>D58</f>
        <v>N/A</v>
      </c>
      <c r="L9" s="58" t="s">
        <v>20</v>
      </c>
      <c r="M9" s="59">
        <f>I10</f>
        <v>900</v>
      </c>
      <c r="N9" s="26" t="e">
        <f>M9-K9+1</f>
        <v>#VALUE!</v>
      </c>
      <c r="O9" s="3"/>
    </row>
    <row r="10" spans="1:15" ht="14.25" thickBot="1" thickTop="1">
      <c r="A10" s="29" t="s">
        <v>23</v>
      </c>
      <c r="B10" s="106" t="s">
        <v>40</v>
      </c>
      <c r="D10" s="14" t="s">
        <v>11</v>
      </c>
      <c r="E10" s="18"/>
      <c r="F10" s="18"/>
      <c r="G10" s="64"/>
      <c r="H10" s="29" t="s">
        <v>12</v>
      </c>
      <c r="I10" s="34">
        <f>G4+900</f>
        <v>900</v>
      </c>
      <c r="J10" s="19"/>
      <c r="K10" s="39" t="s">
        <v>3</v>
      </c>
      <c r="L10" s="57" t="s">
        <v>1</v>
      </c>
      <c r="M10" s="57" t="s">
        <v>2</v>
      </c>
      <c r="N10" s="20"/>
      <c r="O10" s="3"/>
    </row>
    <row r="11" spans="1:15" ht="18" customHeight="1" thickBot="1" thickTop="1">
      <c r="A11" s="32" t="s">
        <v>6</v>
      </c>
      <c r="B11" s="34">
        <f>G4+30</f>
        <v>30</v>
      </c>
      <c r="C11" s="33"/>
      <c r="D11" s="44" t="s">
        <v>3</v>
      </c>
      <c r="E11" s="40" t="s">
        <v>1</v>
      </c>
      <c r="F11" s="40" t="s">
        <v>2</v>
      </c>
      <c r="G11" s="64"/>
      <c r="H11" s="29" t="s">
        <v>22</v>
      </c>
      <c r="I11" s="106" t="s">
        <v>40</v>
      </c>
      <c r="J11" s="62" t="s">
        <v>38</v>
      </c>
      <c r="K11" s="15" t="str">
        <f>IF(M11+5&lt;$U$2,"N/A",M11+5)</f>
        <v>N/A</v>
      </c>
      <c r="L11" s="15">
        <f>F58+1</f>
        <v>885</v>
      </c>
      <c r="M11" s="15">
        <f>H$4+930</f>
        <v>914</v>
      </c>
      <c r="N11" s="65">
        <f ca="1">IF(TODAY()&gt;40421,"",IF($G$2="","",IF(AND($G$2&gt;=L11-15,$G$2&lt;M11),"-END DATE","")))</f>
      </c>
      <c r="O11" s="3"/>
    </row>
    <row r="12" spans="1:15" ht="13.5" thickTop="1">
      <c r="A12" s="30" t="s">
        <v>22</v>
      </c>
      <c r="B12" s="106" t="s">
        <v>40</v>
      </c>
      <c r="C12" s="62" t="s">
        <v>38</v>
      </c>
      <c r="D12" s="15" t="str">
        <f>IF(F12+5&lt;$U$2,"N/A",F12+5)</f>
        <v>N/A</v>
      </c>
      <c r="E12" s="15">
        <f>G4</f>
        <v>0</v>
      </c>
      <c r="F12" s="15">
        <f>G4+44</f>
        <v>44</v>
      </c>
      <c r="G12" s="65"/>
      <c r="H12" s="1"/>
      <c r="I12" s="21"/>
      <c r="J12" s="62" t="s">
        <v>38</v>
      </c>
      <c r="K12" s="15" t="str">
        <f>IF(M12+5&lt;$U$2,"N/A",M12+5)</f>
        <v>N/A</v>
      </c>
      <c r="L12" s="15">
        <f>M11+1</f>
        <v>915</v>
      </c>
      <c r="M12" s="15">
        <f>H$4+960</f>
        <v>944</v>
      </c>
      <c r="N12" s="65">
        <f ca="1">IF(TODAY()&gt;40421,"",IF($G$2="","",IF(AND($G$2&gt;=L12-15,$G$2&lt;M12),"-END DATE","")))</f>
      </c>
      <c r="O12" s="3"/>
    </row>
    <row r="13" spans="2:15" ht="12.75">
      <c r="B13" s="21"/>
      <c r="C13" s="62" t="s">
        <v>38</v>
      </c>
      <c r="D13" s="15" t="str">
        <f>IF(F13+5&lt;$U$2,"N/A",F13+5)</f>
        <v>N/A</v>
      </c>
      <c r="E13" s="15">
        <f>F12+1</f>
        <v>45</v>
      </c>
      <c r="F13" s="15">
        <f>H$4+90</f>
        <v>74</v>
      </c>
      <c r="G13" s="65">
        <f ca="1">IF(TODAY()&gt;40421,"",IF($G$2="","",IF(AND($G$2&gt;=E13-15,$G$2&lt;F13),"-END DATE","")))</f>
      </c>
      <c r="H13" s="1"/>
      <c r="I13" s="21"/>
      <c r="J13" s="62" t="s">
        <v>38</v>
      </c>
      <c r="K13" s="15" t="str">
        <f>IF(M13+5&lt;$U$2,"N/A",M13+5)</f>
        <v>N/A</v>
      </c>
      <c r="L13" s="15">
        <f>M12+1</f>
        <v>945</v>
      </c>
      <c r="M13" s="15">
        <f>H$4+990</f>
        <v>974</v>
      </c>
      <c r="N13" s="65">
        <f ca="1">IF(TODAY()&gt;40421,"",IF($G$2="","",IF(AND($G$2&gt;=L13-15,$G$2&lt;M13),"-END DATE","")))</f>
      </c>
      <c r="O13" s="3"/>
    </row>
    <row r="14" spans="1:14" s="38" customFormat="1" ht="6.75" customHeight="1" thickBot="1">
      <c r="A14" s="118" t="s">
        <v>16</v>
      </c>
      <c r="B14" s="118"/>
      <c r="C14" s="118"/>
      <c r="D14" s="45" t="str">
        <f>D13</f>
        <v>N/A</v>
      </c>
      <c r="E14" s="41" t="s">
        <v>20</v>
      </c>
      <c r="F14" s="43">
        <f>B15</f>
        <v>90</v>
      </c>
      <c r="G14" s="66" t="e">
        <f>F14-D14+1</f>
        <v>#VALUE!</v>
      </c>
      <c r="H14" s="118" t="s">
        <v>19</v>
      </c>
      <c r="I14" s="118"/>
      <c r="J14" s="118"/>
      <c r="K14" s="35" t="str">
        <f>K13</f>
        <v>N/A</v>
      </c>
      <c r="L14" s="54" t="s">
        <v>20</v>
      </c>
      <c r="M14" s="55">
        <f>I15</f>
        <v>990</v>
      </c>
      <c r="N14" s="36" t="e">
        <f>M14-K14+1</f>
        <v>#VALUE!</v>
      </c>
    </row>
    <row r="15" spans="1:15" ht="14.25" thickBot="1" thickTop="1">
      <c r="A15" s="29" t="s">
        <v>8</v>
      </c>
      <c r="B15" s="34">
        <f>G4+90</f>
        <v>90</v>
      </c>
      <c r="C15" s="19"/>
      <c r="D15" s="44" t="s">
        <v>3</v>
      </c>
      <c r="E15" s="40" t="s">
        <v>1</v>
      </c>
      <c r="F15" s="40" t="s">
        <v>2</v>
      </c>
      <c r="G15" s="67"/>
      <c r="H15" s="29" t="s">
        <v>13</v>
      </c>
      <c r="I15" s="34">
        <f>G4+990</f>
        <v>990</v>
      </c>
      <c r="J15" s="23"/>
      <c r="K15" s="39" t="s">
        <v>3</v>
      </c>
      <c r="L15" s="57" t="s">
        <v>1</v>
      </c>
      <c r="M15" s="57" t="s">
        <v>2</v>
      </c>
      <c r="N15" s="22"/>
      <c r="O15" s="3"/>
    </row>
    <row r="16" spans="1:15" ht="13.5" thickTop="1">
      <c r="A16" s="29" t="s">
        <v>23</v>
      </c>
      <c r="B16" s="106" t="s">
        <v>40</v>
      </c>
      <c r="C16" s="62" t="s">
        <v>38</v>
      </c>
      <c r="D16" s="15" t="str">
        <f>IF(F16+5&lt;$U$2,"N/A",F16+5)</f>
        <v>N/A</v>
      </c>
      <c r="E16" s="15">
        <f>F$13+1</f>
        <v>75</v>
      </c>
      <c r="F16" s="15">
        <f>H$4+120</f>
        <v>104</v>
      </c>
      <c r="G16" s="65">
        <f ca="1">IF(TODAY()&gt;40421,"",IF($G$2="","",IF(AND($G$2&gt;=E16-15,$G$2&lt;F16),"-END DATE","")))</f>
      </c>
      <c r="H16" s="29" t="s">
        <v>22</v>
      </c>
      <c r="I16" s="106" t="s">
        <v>40</v>
      </c>
      <c r="J16" s="62" t="s">
        <v>38</v>
      </c>
      <c r="K16" s="15" t="str">
        <f>IF(M16+5&lt;$U$2,"N/A",M16+5)</f>
        <v>N/A</v>
      </c>
      <c r="L16" s="15">
        <f>M13+1</f>
        <v>975</v>
      </c>
      <c r="M16" s="15">
        <f>H$4+1020</f>
        <v>1004</v>
      </c>
      <c r="N16" s="65">
        <f ca="1">IF(TODAY()&gt;40421,"",IF($G$2="","",IF(AND($G$2&gt;=L16-15,$G$2&lt;M16),"-END DATE","")))</f>
      </c>
      <c r="O16" s="3"/>
    </row>
    <row r="17" spans="1:15" ht="12.75">
      <c r="A17" s="1"/>
      <c r="B17" s="21"/>
      <c r="C17" s="62" t="s">
        <v>38</v>
      </c>
      <c r="D17" s="15" t="str">
        <f>IF(F17+5&lt;$U$2,"N/A",F17+5)</f>
        <v>N/A</v>
      </c>
      <c r="E17" s="15">
        <f>F16+1</f>
        <v>105</v>
      </c>
      <c r="F17" s="15">
        <f>H4+150</f>
        <v>134</v>
      </c>
      <c r="G17" s="65">
        <f ca="1">IF(TODAY()&gt;40421,"",IF($G$2="","",IF(AND($G$2&gt;=E17-15,$G$2&lt;F17),"-END DATE","")))</f>
      </c>
      <c r="H17" s="1"/>
      <c r="I17" s="5"/>
      <c r="J17" s="62" t="s">
        <v>38</v>
      </c>
      <c r="K17" s="15" t="str">
        <f>IF(M17+5&lt;$U$2,"N/A",M17+5)</f>
        <v>N/A</v>
      </c>
      <c r="L17" s="15">
        <f>M16+1</f>
        <v>1005</v>
      </c>
      <c r="M17" s="15">
        <f>H$4+1050</f>
        <v>1034</v>
      </c>
      <c r="N17" s="65">
        <f ca="1">IF(TODAY()&gt;40421,"",IF($G$2="","",IF(AND($G$2&gt;=L17-15,$G$2&lt;M17),"-END DATE","")))</f>
      </c>
      <c r="O17" s="3"/>
    </row>
    <row r="18" spans="1:15" ht="12.75">
      <c r="A18" s="1"/>
      <c r="B18" s="21"/>
      <c r="C18" s="62" t="s">
        <v>38</v>
      </c>
      <c r="D18" s="15" t="str">
        <f>IF(F18+5&lt;$U$2,"N/A",F18+5)</f>
        <v>N/A</v>
      </c>
      <c r="E18" s="15">
        <f>F17+1</f>
        <v>135</v>
      </c>
      <c r="F18" s="15">
        <f>H4+180</f>
        <v>164</v>
      </c>
      <c r="G18" s="65">
        <f ca="1">IF(TODAY()&gt;40421,"",IF($G$2="","",IF(AND($G$2&gt;=E18-15,$G$2&lt;F18),"-END DATE","")))</f>
      </c>
      <c r="H18" s="1"/>
      <c r="I18" s="5"/>
      <c r="J18" s="62" t="s">
        <v>38</v>
      </c>
      <c r="K18" s="15" t="str">
        <f>IF(M18+5&lt;$U$2,"N/A",M18+5)</f>
        <v>N/A</v>
      </c>
      <c r="L18" s="15">
        <f>M17+1</f>
        <v>1035</v>
      </c>
      <c r="M18" s="15">
        <f>H$4+1080</f>
        <v>1064</v>
      </c>
      <c r="N18" s="65">
        <f ca="1">IF(TODAY()&gt;40421,"",IF($G$2="","",IF(AND($G$2&gt;=L18-15,$G$2&lt;M18),"-END DATE","")))</f>
      </c>
      <c r="O18" s="3"/>
    </row>
    <row r="19" spans="1:14" s="38" customFormat="1" ht="6.75" customHeight="1" thickBot="1">
      <c r="A19" s="118" t="s">
        <v>16</v>
      </c>
      <c r="B19" s="118"/>
      <c r="C19" s="118"/>
      <c r="D19" s="35" t="str">
        <f>D18</f>
        <v>N/A</v>
      </c>
      <c r="E19" s="41" t="s">
        <v>21</v>
      </c>
      <c r="F19" s="43">
        <f>B20</f>
        <v>180</v>
      </c>
      <c r="G19" s="68" t="e">
        <f>F19-D19+1</f>
        <v>#VALUE!</v>
      </c>
      <c r="H19" s="118" t="s">
        <v>16</v>
      </c>
      <c r="I19" s="118"/>
      <c r="J19" s="118"/>
      <c r="K19" s="35" t="str">
        <f>K18</f>
        <v>N/A</v>
      </c>
      <c r="L19" s="54" t="s">
        <v>20</v>
      </c>
      <c r="M19" s="55">
        <f>I20</f>
        <v>1080</v>
      </c>
      <c r="N19" s="36" t="e">
        <f>M19-K19+1</f>
        <v>#VALUE!</v>
      </c>
    </row>
    <row r="20" spans="1:15" ht="14.25" thickBot="1" thickTop="1">
      <c r="A20" s="29" t="s">
        <v>9</v>
      </c>
      <c r="B20" s="34">
        <f>G4+180</f>
        <v>180</v>
      </c>
      <c r="C20" s="19"/>
      <c r="D20" s="39" t="s">
        <v>3</v>
      </c>
      <c r="E20" s="40" t="s">
        <v>1</v>
      </c>
      <c r="F20" s="40" t="s">
        <v>2</v>
      </c>
      <c r="G20" s="69"/>
      <c r="H20" s="29" t="s">
        <v>14</v>
      </c>
      <c r="I20" s="34">
        <f>G4+1080</f>
        <v>1080</v>
      </c>
      <c r="J20" s="23"/>
      <c r="K20" s="39" t="s">
        <v>3</v>
      </c>
      <c r="L20" s="57" t="s">
        <v>1</v>
      </c>
      <c r="M20" s="57" t="s">
        <v>2</v>
      </c>
      <c r="N20" s="22"/>
      <c r="O20" s="3"/>
    </row>
    <row r="21" spans="1:15" ht="13.5" thickTop="1">
      <c r="A21" s="29" t="s">
        <v>23</v>
      </c>
      <c r="B21" s="106" t="s">
        <v>40</v>
      </c>
      <c r="C21" s="62" t="s">
        <v>38</v>
      </c>
      <c r="D21" s="15" t="str">
        <f>IF(F21+5&lt;$U$2,"N/A",F21+5)</f>
        <v>N/A</v>
      </c>
      <c r="E21" s="15">
        <f>F18+1</f>
        <v>165</v>
      </c>
      <c r="F21" s="15">
        <f>H4+210</f>
        <v>194</v>
      </c>
      <c r="G21" s="65">
        <f ca="1">IF(TODAY()&gt;40421,"",IF($G$2="","",IF(AND($G$2&gt;=E21-15,$G$2&lt;F21),"-END DATE","")))</f>
      </c>
      <c r="H21" s="29" t="s">
        <v>23</v>
      </c>
      <c r="I21" s="106" t="s">
        <v>40</v>
      </c>
      <c r="J21" s="62" t="s">
        <v>38</v>
      </c>
      <c r="K21" s="15" t="str">
        <f>IF(M21+5&lt;$U$2,"N/A",M21+5)</f>
        <v>N/A</v>
      </c>
      <c r="L21" s="15">
        <f>M18+1</f>
        <v>1065</v>
      </c>
      <c r="M21" s="15">
        <f>H$4+1110</f>
        <v>1094</v>
      </c>
      <c r="N21" s="65">
        <f ca="1">IF(TODAY()&gt;40421,"",IF($G$2="","",IF(AND($G$2&gt;=L21-15,$G$2&lt;M21),"-END DATE","")))</f>
      </c>
      <c r="O21" s="3"/>
    </row>
    <row r="22" spans="1:15" ht="12.75">
      <c r="A22" s="1"/>
      <c r="B22" s="21"/>
      <c r="C22" s="62" t="s">
        <v>38</v>
      </c>
      <c r="D22" s="15" t="str">
        <f>IF(F22+5&lt;$U$2,"N/A",F22+5)</f>
        <v>N/A</v>
      </c>
      <c r="E22" s="15">
        <f>F21+1</f>
        <v>195</v>
      </c>
      <c r="F22" s="15">
        <f>H4+240</f>
        <v>224</v>
      </c>
      <c r="G22" s="65">
        <f ca="1">IF(TODAY()&gt;40421,"",IF($G$2="","",IF(AND($G$2&gt;=E22-15,$G$2&lt;F22),"-END DATE","")))</f>
      </c>
      <c r="H22" s="1"/>
      <c r="I22" s="5"/>
      <c r="J22" s="62" t="s">
        <v>38</v>
      </c>
      <c r="K22" s="15" t="str">
        <f>IF(M22+5&lt;$U$2,"N/A",M22+5)</f>
        <v>N/A</v>
      </c>
      <c r="L22" s="15">
        <f>M21+1</f>
        <v>1095</v>
      </c>
      <c r="M22" s="15">
        <f>H$4+1140</f>
        <v>1124</v>
      </c>
      <c r="N22" s="65">
        <f ca="1">IF(TODAY()&gt;40421,"",IF($G$2="","",IF(AND($G$2&gt;=L22-15,$G$2&lt;M22),"-END DATE","")))</f>
      </c>
      <c r="O22" s="3"/>
    </row>
    <row r="23" spans="1:15" ht="12.75">
      <c r="A23" s="1"/>
      <c r="B23" s="21"/>
      <c r="C23" s="62" t="s">
        <v>38</v>
      </c>
      <c r="D23" s="15" t="str">
        <f>IF(F23+5&lt;$U$2,"N/A",F23+5)</f>
        <v>N/A</v>
      </c>
      <c r="E23" s="15">
        <f>F22+1</f>
        <v>225</v>
      </c>
      <c r="F23" s="15">
        <f>H4+270</f>
        <v>254</v>
      </c>
      <c r="G23" s="65">
        <f ca="1">IF(TODAY()&gt;40421,"",IF($G$2="","",IF(AND($G$2&gt;=E23-15,$G$2&lt;F23),"-END DATE","")))</f>
      </c>
      <c r="H23" s="1"/>
      <c r="I23" s="5"/>
      <c r="J23" s="62" t="s">
        <v>38</v>
      </c>
      <c r="K23" s="15" t="str">
        <f>IF(M23+5&lt;$U$2,"N/A",M23+5)</f>
        <v>N/A</v>
      </c>
      <c r="L23" s="15">
        <f>M22+1</f>
        <v>1125</v>
      </c>
      <c r="M23" s="15">
        <f>H$4+1170</f>
        <v>1154</v>
      </c>
      <c r="N23" s="65">
        <f ca="1">IF(TODAY()&gt;40421,"",IF($G$2="","",IF(AND($G$2&gt;=L23-15,$G$2&lt;M23),"-END DATE","")))</f>
      </c>
      <c r="O23" s="3"/>
    </row>
    <row r="24" spans="1:14" s="38" customFormat="1" ht="6.75" customHeight="1" thickBot="1">
      <c r="A24" s="118" t="s">
        <v>16</v>
      </c>
      <c r="B24" s="118"/>
      <c r="C24" s="118"/>
      <c r="D24" s="35" t="str">
        <f>D23</f>
        <v>N/A</v>
      </c>
      <c r="E24" s="41" t="s">
        <v>20</v>
      </c>
      <c r="F24" s="43">
        <f>B25</f>
        <v>270</v>
      </c>
      <c r="G24" s="68" t="e">
        <f>F24-D24+1</f>
        <v>#VALUE!</v>
      </c>
      <c r="H24" s="118" t="s">
        <v>16</v>
      </c>
      <c r="I24" s="118"/>
      <c r="J24" s="118"/>
      <c r="K24" s="35" t="str">
        <f>K23</f>
        <v>N/A</v>
      </c>
      <c r="L24" s="54" t="s">
        <v>20</v>
      </c>
      <c r="M24" s="55">
        <f>I25</f>
        <v>1170</v>
      </c>
      <c r="N24" s="36" t="e">
        <f>M24-K24+1</f>
        <v>#VALUE!</v>
      </c>
    </row>
    <row r="25" spans="1:15" ht="14.25" thickBot="1" thickTop="1">
      <c r="A25" s="29" t="s">
        <v>10</v>
      </c>
      <c r="B25" s="34">
        <f>G4+270</f>
        <v>270</v>
      </c>
      <c r="C25" s="23"/>
      <c r="D25" s="39" t="s">
        <v>3</v>
      </c>
      <c r="E25" s="40" t="s">
        <v>1</v>
      </c>
      <c r="F25" s="40" t="s">
        <v>2</v>
      </c>
      <c r="G25" s="69"/>
      <c r="H25" s="29" t="s">
        <v>15</v>
      </c>
      <c r="I25" s="34">
        <f>G4+1170</f>
        <v>1170</v>
      </c>
      <c r="J25" s="23"/>
      <c r="K25" s="39" t="s">
        <v>3</v>
      </c>
      <c r="L25" s="57" t="s">
        <v>1</v>
      </c>
      <c r="M25" s="57" t="s">
        <v>2</v>
      </c>
      <c r="N25" s="22"/>
      <c r="O25" s="3"/>
    </row>
    <row r="26" spans="1:15" ht="13.5" thickTop="1">
      <c r="A26" s="29" t="s">
        <v>23</v>
      </c>
      <c r="B26" s="106" t="s">
        <v>40</v>
      </c>
      <c r="C26" s="62" t="s">
        <v>38</v>
      </c>
      <c r="D26" s="15" t="str">
        <f>IF(F26+5&lt;$U$2,"N/A",F26+5)</f>
        <v>N/A</v>
      </c>
      <c r="E26" s="15">
        <f>F23+1</f>
        <v>255</v>
      </c>
      <c r="F26" s="15">
        <f>H4+300</f>
        <v>284</v>
      </c>
      <c r="G26" s="65">
        <f ca="1">IF(TODAY()&gt;40421,"",IF($G$2="","",IF(AND($G$2&gt;=E26-15,$G$2&lt;F26),"-END DATE","")))</f>
      </c>
      <c r="H26" s="29" t="s">
        <v>23</v>
      </c>
      <c r="I26" s="106" t="s">
        <v>40</v>
      </c>
      <c r="J26" s="62" t="s">
        <v>38</v>
      </c>
      <c r="K26" s="15" t="str">
        <f>IF(M26+5&lt;$U$2,"N/A",M26+5)</f>
        <v>N/A</v>
      </c>
      <c r="L26" s="15">
        <f>M23+1</f>
        <v>1155</v>
      </c>
      <c r="M26" s="15">
        <f>H$4+1200</f>
        <v>1184</v>
      </c>
      <c r="N26" s="65">
        <f ca="1">IF(TODAY()&gt;40421,"",IF($G$2="","",IF(AND($G$2&gt;=L26-15,$G$2&lt;M26),"-END DATE","")))</f>
      </c>
      <c r="O26" s="3"/>
    </row>
    <row r="27" spans="1:15" ht="12.75">
      <c r="A27" s="1"/>
      <c r="C27" s="62" t="s">
        <v>38</v>
      </c>
      <c r="D27" s="15" t="str">
        <f>IF(F27+5&lt;$U$2,"N/A",F27+5)</f>
        <v>N/A</v>
      </c>
      <c r="E27" s="15">
        <f>F26+1</f>
        <v>285</v>
      </c>
      <c r="F27" s="15">
        <f>H4+330</f>
        <v>314</v>
      </c>
      <c r="G27" s="65">
        <f ca="1">IF(TODAY()&gt;40421,"",IF($G$2="","",IF(AND($G$2&gt;=E27-15,$G$2&lt;F27),"-END DATE","")))</f>
      </c>
      <c r="H27" s="1"/>
      <c r="I27" s="5"/>
      <c r="J27" s="62" t="s">
        <v>38</v>
      </c>
      <c r="K27" s="15" t="str">
        <f>IF(M27+5&lt;$U$2,"N/A",M27+5)</f>
        <v>N/A</v>
      </c>
      <c r="L27" s="15">
        <f>M26+1</f>
        <v>1185</v>
      </c>
      <c r="M27" s="15">
        <f>H$4+1230</f>
        <v>1214</v>
      </c>
      <c r="N27" s="65">
        <f ca="1">IF(TODAY()&gt;40421,"",IF($G$2="","",IF(AND($G$2&gt;=L27-15,$G$2&lt;M27),"-END DATE","")))</f>
      </c>
      <c r="O27" s="3"/>
    </row>
    <row r="28" spans="1:15" ht="12.75">
      <c r="A28" s="1"/>
      <c r="C28" s="62" t="s">
        <v>38</v>
      </c>
      <c r="D28" s="15" t="str">
        <f>IF(F28+5&lt;$U$2,"N/A",F28+5)</f>
        <v>N/A</v>
      </c>
      <c r="E28" s="15">
        <f>F27+1</f>
        <v>315</v>
      </c>
      <c r="F28" s="15">
        <f>H4+360</f>
        <v>344</v>
      </c>
      <c r="G28" s="65">
        <f ca="1">IF(TODAY()&gt;40421,"",IF($G$2="","",IF(AND($G$2&gt;=E28-15,$G$2&lt;F28),"-END DATE","")))</f>
      </c>
      <c r="H28" s="1"/>
      <c r="I28" s="5"/>
      <c r="J28" s="62" t="s">
        <v>38</v>
      </c>
      <c r="K28" s="15" t="str">
        <f>IF(M28+5&lt;$U$2,"N/A",M28+5)</f>
        <v>N/A</v>
      </c>
      <c r="L28" s="15">
        <f>M27+1</f>
        <v>1215</v>
      </c>
      <c r="M28" s="15">
        <f>H$4+1260</f>
        <v>1244</v>
      </c>
      <c r="N28" s="65">
        <f ca="1">IF(TODAY()&gt;40421,"",IF($G$2="","",IF(AND($G$2&gt;=L28-15,$G$2&lt;M28),"-END DATE","")))</f>
      </c>
      <c r="O28" s="3"/>
    </row>
    <row r="29" spans="1:14" s="38" customFormat="1" ht="6.75" customHeight="1" thickBot="1">
      <c r="A29" s="118" t="s">
        <v>16</v>
      </c>
      <c r="B29" s="118"/>
      <c r="C29" s="118"/>
      <c r="D29" s="35" t="str">
        <f>D28</f>
        <v>N/A</v>
      </c>
      <c r="E29" s="53" t="s">
        <v>20</v>
      </c>
      <c r="F29" s="60">
        <f>B30</f>
        <v>360</v>
      </c>
      <c r="G29" s="68" t="e">
        <f>F29-D29+1</f>
        <v>#VALUE!</v>
      </c>
      <c r="H29" s="118" t="s">
        <v>16</v>
      </c>
      <c r="I29" s="118"/>
      <c r="J29" s="118"/>
      <c r="K29" s="35" t="str">
        <f>K28</f>
        <v>N/A</v>
      </c>
      <c r="L29" s="54" t="s">
        <v>20</v>
      </c>
      <c r="M29" s="55">
        <f>I30</f>
        <v>1260</v>
      </c>
      <c r="N29" s="36" t="e">
        <f>M29-K29+1</f>
        <v>#VALUE!</v>
      </c>
    </row>
    <row r="30" spans="1:15" ht="14.25" thickBot="1" thickTop="1">
      <c r="A30" s="29" t="s">
        <v>29</v>
      </c>
      <c r="B30" s="34">
        <f>G4+360</f>
        <v>360</v>
      </c>
      <c r="C30" s="23"/>
      <c r="D30" s="39" t="s">
        <v>3</v>
      </c>
      <c r="E30" s="57" t="s">
        <v>1</v>
      </c>
      <c r="F30" s="57" t="s">
        <v>2</v>
      </c>
      <c r="G30" s="69"/>
      <c r="H30" s="29" t="s">
        <v>30</v>
      </c>
      <c r="I30" s="34">
        <f>G4+1260</f>
        <v>1260</v>
      </c>
      <c r="J30" s="23"/>
      <c r="K30" s="39" t="s">
        <v>3</v>
      </c>
      <c r="L30" s="57" t="s">
        <v>1</v>
      </c>
      <c r="M30" s="57" t="s">
        <v>2</v>
      </c>
      <c r="N30" s="22"/>
      <c r="O30" s="3"/>
    </row>
    <row r="31" spans="1:15" ht="13.5" thickTop="1">
      <c r="A31" s="29" t="s">
        <v>23</v>
      </c>
      <c r="B31" s="106" t="s">
        <v>40</v>
      </c>
      <c r="C31" s="62" t="s">
        <v>38</v>
      </c>
      <c r="D31" s="15" t="str">
        <f>IF(F31+5&lt;$U$2,"N/A",F31+5)</f>
        <v>N/A</v>
      </c>
      <c r="E31" s="15">
        <f>F28+1</f>
        <v>345</v>
      </c>
      <c r="F31" s="15">
        <f>H4+390</f>
        <v>374</v>
      </c>
      <c r="G31" s="65">
        <f ca="1">IF(TODAY()&gt;40421,"",IF($G$2="","",IF(AND($G$2&gt;=E31-15,$G$2&lt;F31),"-END DATE","")))</f>
      </c>
      <c r="H31" s="29" t="s">
        <v>23</v>
      </c>
      <c r="I31" s="106" t="s">
        <v>40</v>
      </c>
      <c r="J31" s="62" t="s">
        <v>38</v>
      </c>
      <c r="K31" s="15" t="str">
        <f>IF(M31+5&lt;$U$2,"N/A",M31+5)</f>
        <v>N/A</v>
      </c>
      <c r="L31" s="15">
        <f>M28+1</f>
        <v>1245</v>
      </c>
      <c r="M31" s="15">
        <f>H$4+1290</f>
        <v>1274</v>
      </c>
      <c r="N31" s="65">
        <f ca="1">IF(TODAY()&gt;40421,"",IF($G$2="","",IF(AND($G$2&gt;=L31-15,$G$2&lt;M31),"-END DATE","")))</f>
      </c>
      <c r="O31" s="3"/>
    </row>
    <row r="32" spans="1:15" ht="12.75">
      <c r="A32" s="1"/>
      <c r="C32" s="62" t="s">
        <v>38</v>
      </c>
      <c r="D32" s="15" t="str">
        <f>IF(F32+5&lt;$U$2,"N/A",F32+5)</f>
        <v>N/A</v>
      </c>
      <c r="E32" s="15">
        <f>F31+1</f>
        <v>375</v>
      </c>
      <c r="F32" s="15">
        <f>H4+420</f>
        <v>404</v>
      </c>
      <c r="G32" s="65">
        <f ca="1">IF(TODAY()&gt;40421,"",IF($G$2="","",IF(AND($G$2&gt;=E32-15,$G$2&lt;F32),"-END DATE","")))</f>
      </c>
      <c r="H32" s="1"/>
      <c r="I32" s="5"/>
      <c r="J32" s="62" t="s">
        <v>38</v>
      </c>
      <c r="K32" s="15" t="str">
        <f>IF(M32+5&lt;$U$2,"N/A",M32+5)</f>
        <v>N/A</v>
      </c>
      <c r="L32" s="15">
        <f>M31+1</f>
        <v>1275</v>
      </c>
      <c r="M32" s="15">
        <f>H$4+1320</f>
        <v>1304</v>
      </c>
      <c r="N32" s="65">
        <f ca="1">IF(TODAY()&gt;40421,"",IF($G$2="","",IF(AND($G$2&gt;=L32-15,$G$2&lt;M32),"-END DATE","")))</f>
      </c>
      <c r="O32" s="3"/>
    </row>
    <row r="33" spans="1:15" ht="12.75">
      <c r="A33" s="1"/>
      <c r="C33" s="62" t="s">
        <v>38</v>
      </c>
      <c r="D33" s="15" t="str">
        <f>IF(F33+5&lt;$U$2,"N/A",F33+5)</f>
        <v>N/A</v>
      </c>
      <c r="E33" s="15">
        <f>F32+1</f>
        <v>405</v>
      </c>
      <c r="F33" s="15">
        <f>H$4+450</f>
        <v>434</v>
      </c>
      <c r="G33" s="65">
        <f ca="1">IF(TODAY()&gt;40421,"",IF($G$2="","",IF(AND($G$2&gt;=E33-15,$G$2&lt;F33),"-END DATE","")))</f>
      </c>
      <c r="H33" s="1"/>
      <c r="I33" s="5"/>
      <c r="J33" s="62" t="s">
        <v>38</v>
      </c>
      <c r="K33" s="15" t="str">
        <f>IF(M33+5&lt;$U$2,"N/A",M33+5)</f>
        <v>N/A</v>
      </c>
      <c r="L33" s="15">
        <f>M32+1</f>
        <v>1305</v>
      </c>
      <c r="M33" s="15">
        <f>H$4+1350</f>
        <v>1334</v>
      </c>
      <c r="N33" s="65">
        <f ca="1">IF(TODAY()&gt;40421,"",IF($G$2="","",IF(AND($G$2&gt;=L33-15,$G$2&lt;M33),"-END DATE","")))</f>
      </c>
      <c r="O33" s="3"/>
    </row>
    <row r="34" spans="1:14" s="38" customFormat="1" ht="6.75" customHeight="1" thickBot="1">
      <c r="A34" s="118" t="s">
        <v>16</v>
      </c>
      <c r="B34" s="118"/>
      <c r="C34" s="118"/>
      <c r="D34" s="35" t="str">
        <f>D33</f>
        <v>N/A</v>
      </c>
      <c r="E34" s="54" t="s">
        <v>20</v>
      </c>
      <c r="F34" s="61">
        <f>B35</f>
        <v>450</v>
      </c>
      <c r="G34" s="68" t="e">
        <f>F34-D34+1</f>
        <v>#VALUE!</v>
      </c>
      <c r="H34" s="118" t="s">
        <v>16</v>
      </c>
      <c r="I34" s="118"/>
      <c r="J34" s="118"/>
      <c r="K34" s="35" t="str">
        <f>K33</f>
        <v>N/A</v>
      </c>
      <c r="L34" s="54" t="s">
        <v>20</v>
      </c>
      <c r="M34" s="55">
        <f>I35</f>
        <v>1350</v>
      </c>
      <c r="N34" s="36" t="e">
        <f>M34-K34+1</f>
        <v>#VALUE!</v>
      </c>
    </row>
    <row r="35" spans="1:15" ht="14.25" thickBot="1" thickTop="1">
      <c r="A35" s="29" t="s">
        <v>28</v>
      </c>
      <c r="B35" s="34">
        <f>G4+450</f>
        <v>450</v>
      </c>
      <c r="C35" s="23"/>
      <c r="D35" s="39" t="s">
        <v>3</v>
      </c>
      <c r="E35" s="57" t="s">
        <v>1</v>
      </c>
      <c r="F35" s="57" t="s">
        <v>2</v>
      </c>
      <c r="G35" s="69"/>
      <c r="H35" s="29" t="s">
        <v>31</v>
      </c>
      <c r="I35" s="34">
        <f>G4+1350</f>
        <v>1350</v>
      </c>
      <c r="J35" s="23"/>
      <c r="K35" s="39" t="s">
        <v>3</v>
      </c>
      <c r="L35" s="57" t="s">
        <v>1</v>
      </c>
      <c r="M35" s="57" t="s">
        <v>2</v>
      </c>
      <c r="N35" s="22"/>
      <c r="O35" s="3"/>
    </row>
    <row r="36" spans="1:15" ht="13.5" thickTop="1">
      <c r="A36" s="29" t="s">
        <v>23</v>
      </c>
      <c r="B36" s="106" t="s">
        <v>40</v>
      </c>
      <c r="C36" s="62" t="s">
        <v>38</v>
      </c>
      <c r="D36" s="15" t="str">
        <f>IF(F36+5&lt;$U$2,"N/A",F36+5)</f>
        <v>N/A</v>
      </c>
      <c r="E36" s="15">
        <f>F33+1</f>
        <v>435</v>
      </c>
      <c r="F36" s="15">
        <f>H4+480</f>
        <v>464</v>
      </c>
      <c r="G36" s="65">
        <f ca="1">IF(TODAY()&gt;40421,"",IF($G$2="","",IF(AND($G$2&gt;=E36-15,$G$2&lt;F36),"-END DATE","")))</f>
      </c>
      <c r="H36" s="29" t="s">
        <v>23</v>
      </c>
      <c r="I36" s="106" t="s">
        <v>40</v>
      </c>
      <c r="J36" s="62" t="s">
        <v>38</v>
      </c>
      <c r="K36" s="15" t="str">
        <f>IF(M36+5&lt;$U$2,"N/A",M36+5)</f>
        <v>N/A</v>
      </c>
      <c r="L36" s="15">
        <f>M33+1</f>
        <v>1335</v>
      </c>
      <c r="M36" s="15">
        <f>H$4+1380</f>
        <v>1364</v>
      </c>
      <c r="N36" s="65">
        <f ca="1">IF(TODAY()&gt;40421,"",IF($G$2="","",IF(AND($G$2&gt;=L36-15,$G$2&lt;M36),"-END DATE","")))</f>
      </c>
      <c r="O36" s="3"/>
    </row>
    <row r="37" spans="1:15" ht="12.75">
      <c r="A37" s="1"/>
      <c r="C37" s="62" t="s">
        <v>38</v>
      </c>
      <c r="D37" s="15" t="str">
        <f>IF(F37+5&lt;$U$2,"N/A",F37+5)</f>
        <v>N/A</v>
      </c>
      <c r="E37" s="15">
        <f>F36+1</f>
        <v>465</v>
      </c>
      <c r="F37" s="15">
        <f>H4+510</f>
        <v>494</v>
      </c>
      <c r="G37" s="65">
        <f ca="1">IF(TODAY()&gt;40421,"",IF($G$2="","",IF(AND($G$2&gt;=E37-15,$G$2&lt;F37),"-END DATE","")))</f>
      </c>
      <c r="H37" s="1"/>
      <c r="I37" s="5"/>
      <c r="J37" s="62" t="s">
        <v>38</v>
      </c>
      <c r="K37" s="15" t="str">
        <f>IF(M37+5&lt;$U$2,"N/A",M37+5)</f>
        <v>N/A</v>
      </c>
      <c r="L37" s="15">
        <f>M36+1</f>
        <v>1365</v>
      </c>
      <c r="M37" s="15">
        <f>H$4+1410</f>
        <v>1394</v>
      </c>
      <c r="N37" s="65">
        <f ca="1">IF(TODAY()&gt;40421,"",IF($G$2="","",IF(AND($G$2&gt;=L37-15,$G$2&lt;M37),"-END DATE","")))</f>
      </c>
      <c r="O37" s="3"/>
    </row>
    <row r="38" spans="1:15" ht="12.75">
      <c r="A38" s="1"/>
      <c r="C38" s="62" t="s">
        <v>38</v>
      </c>
      <c r="D38" s="15" t="str">
        <f>IF(F38+5&lt;$U$2,"N/A",F38+5)</f>
        <v>N/A</v>
      </c>
      <c r="E38" s="15">
        <f>F37+1</f>
        <v>495</v>
      </c>
      <c r="F38" s="15">
        <f>H$4+540</f>
        <v>524</v>
      </c>
      <c r="G38" s="65">
        <f ca="1">IF(TODAY()&gt;40421,"",IF($G$2="","",IF(AND($G$2&gt;=E38-15,$G$2&lt;F38),"-END DATE","")))</f>
      </c>
      <c r="H38" s="1"/>
      <c r="I38" s="5"/>
      <c r="J38" s="62" t="s">
        <v>38</v>
      </c>
      <c r="K38" s="15" t="str">
        <f>IF(M38+5&lt;$U$2,"N/A",M38+5)</f>
        <v>N/A</v>
      </c>
      <c r="L38" s="15">
        <f>M37+1</f>
        <v>1395</v>
      </c>
      <c r="M38" s="15">
        <f>H$4+1440</f>
        <v>1424</v>
      </c>
      <c r="N38" s="65">
        <f ca="1">IF(TODAY()&gt;40421,"",IF($G$2="","",IF(AND($G$2&gt;=L38-15,$G$2&lt;M38),"-END DATE","")))</f>
      </c>
      <c r="O38" s="3"/>
    </row>
    <row r="39" spans="1:14" s="38" customFormat="1" ht="6.75" customHeight="1" thickBot="1">
      <c r="A39" s="118" t="s">
        <v>16</v>
      </c>
      <c r="B39" s="118"/>
      <c r="C39" s="118"/>
      <c r="D39" s="35" t="str">
        <f>D38</f>
        <v>N/A</v>
      </c>
      <c r="E39" s="54" t="s">
        <v>20</v>
      </c>
      <c r="F39" s="61">
        <f>B40</f>
        <v>540</v>
      </c>
      <c r="G39" s="68" t="e">
        <f>F39-D39+1</f>
        <v>#VALUE!</v>
      </c>
      <c r="H39" s="118" t="s">
        <v>16</v>
      </c>
      <c r="I39" s="118"/>
      <c r="J39" s="118"/>
      <c r="K39" s="35" t="str">
        <f>K38</f>
        <v>N/A</v>
      </c>
      <c r="L39" s="54" t="s">
        <v>20</v>
      </c>
      <c r="M39" s="55">
        <f>I40</f>
        <v>1440</v>
      </c>
      <c r="N39" s="36" t="e">
        <f>M39-K39+1</f>
        <v>#VALUE!</v>
      </c>
    </row>
    <row r="40" spans="1:15" ht="14.25" thickBot="1" thickTop="1">
      <c r="A40" s="29" t="s">
        <v>27</v>
      </c>
      <c r="B40" s="34">
        <f>G4+540</f>
        <v>540</v>
      </c>
      <c r="C40" s="23"/>
      <c r="D40" s="39" t="s">
        <v>3</v>
      </c>
      <c r="E40" s="57" t="s">
        <v>1</v>
      </c>
      <c r="F40" s="57" t="s">
        <v>2</v>
      </c>
      <c r="G40" s="69"/>
      <c r="H40" s="29" t="s">
        <v>32</v>
      </c>
      <c r="I40" s="34">
        <f>G4+1440</f>
        <v>1440</v>
      </c>
      <c r="J40" s="23"/>
      <c r="K40" s="39" t="s">
        <v>3</v>
      </c>
      <c r="L40" s="57" t="s">
        <v>1</v>
      </c>
      <c r="M40" s="57" t="s">
        <v>2</v>
      </c>
      <c r="N40" s="22"/>
      <c r="O40" s="3"/>
    </row>
    <row r="41" spans="1:15" ht="13.5" thickTop="1">
      <c r="A41" s="29" t="s">
        <v>23</v>
      </c>
      <c r="B41" s="106" t="s">
        <v>40</v>
      </c>
      <c r="C41" s="62" t="s">
        <v>38</v>
      </c>
      <c r="D41" s="15" t="str">
        <f>IF(F41+5&lt;$U$2,"N/A",F41+5)</f>
        <v>N/A</v>
      </c>
      <c r="E41" s="15">
        <f>F38+1</f>
        <v>525</v>
      </c>
      <c r="F41" s="15">
        <f>H4+570</f>
        <v>554</v>
      </c>
      <c r="G41" s="65">
        <f ca="1">IF(TODAY()&gt;40421,"",IF($G$2="","",IF(AND($G$2&gt;=E41-15,$G$2&lt;F41),"-END DATE","")))</f>
      </c>
      <c r="H41" s="29" t="s">
        <v>23</v>
      </c>
      <c r="I41" s="106" t="s">
        <v>40</v>
      </c>
      <c r="J41" s="62" t="s">
        <v>38</v>
      </c>
      <c r="K41" s="15" t="str">
        <f>IF(M41+5&lt;$U$2,"N/A",M41+5)</f>
        <v>N/A</v>
      </c>
      <c r="L41" s="15">
        <f>M38+1</f>
        <v>1425</v>
      </c>
      <c r="M41" s="15">
        <f>H$4+1470</f>
        <v>1454</v>
      </c>
      <c r="N41" s="65">
        <f ca="1">IF(TODAY()&gt;40421,"",IF($G$2="","",IF(AND($G$2&gt;=L41-15,$G$2&lt;M41),"-END DATE","")))</f>
      </c>
      <c r="O41" s="3"/>
    </row>
    <row r="42" spans="1:15" ht="12.75">
      <c r="A42" s="1"/>
      <c r="C42" s="62" t="s">
        <v>38</v>
      </c>
      <c r="D42" s="15" t="str">
        <f>IF(F42+5&lt;$U$2,"N/A",F42+5)</f>
        <v>N/A</v>
      </c>
      <c r="E42" s="15">
        <f>F41+1</f>
        <v>555</v>
      </c>
      <c r="F42" s="15">
        <f>H4+600</f>
        <v>584</v>
      </c>
      <c r="G42" s="65">
        <f ca="1">IF(TODAY()&gt;40421,"",IF($G$2="","",IF(AND($G$2&gt;=E42-15,$G$2&lt;F42),"-END DATE","")))</f>
      </c>
      <c r="H42" s="8"/>
      <c r="I42" s="5"/>
      <c r="J42" s="62" t="s">
        <v>38</v>
      </c>
      <c r="K42" s="15" t="str">
        <f>IF(M42+5&lt;$U$2,"N/A",M42+5)</f>
        <v>N/A</v>
      </c>
      <c r="L42" s="15">
        <f>M41+1</f>
        <v>1455</v>
      </c>
      <c r="M42" s="15">
        <f>H$4+1500</f>
        <v>1484</v>
      </c>
      <c r="N42" s="65">
        <f ca="1">IF(TODAY()&gt;40421,"",IF($G$2="","",IF(AND($G$2&gt;=L42-15,$G$2&lt;M42),"-END DATE","")))</f>
      </c>
      <c r="O42" s="3"/>
    </row>
    <row r="43" spans="1:15" ht="12.75">
      <c r="A43" s="1"/>
      <c r="C43" s="62" t="s">
        <v>38</v>
      </c>
      <c r="D43" s="15" t="str">
        <f>IF(F43+5&lt;$U$2,"N/A",F43+5)</f>
        <v>N/A</v>
      </c>
      <c r="E43" s="15">
        <f>F42+1</f>
        <v>585</v>
      </c>
      <c r="F43" s="15">
        <f>H$4+630</f>
        <v>614</v>
      </c>
      <c r="G43" s="65">
        <f ca="1">IF(TODAY()&gt;40421,"",IF($G$2="","",IF(AND($G$2&gt;=E43-15,$G$2&lt;F43),"-END DATE","")))</f>
      </c>
      <c r="H43" s="8"/>
      <c r="I43" s="5"/>
      <c r="J43" s="62" t="s">
        <v>38</v>
      </c>
      <c r="K43" s="15" t="str">
        <f>IF(M43+5&lt;$U$2,"N/A",M43+5)</f>
        <v>N/A</v>
      </c>
      <c r="L43" s="15">
        <f>M42+1</f>
        <v>1485</v>
      </c>
      <c r="M43" s="15">
        <f>H$4+1530</f>
        <v>1514</v>
      </c>
      <c r="N43" s="65">
        <f ca="1">IF(TODAY()&gt;40421,"",IF($G$2="","",IF(AND($G$2&gt;=L43-15,$G$2&lt;M43),"-END DATE","")))</f>
      </c>
      <c r="O43" s="3"/>
    </row>
    <row r="44" spans="1:14" s="38" customFormat="1" ht="6.75" customHeight="1" thickBot="1">
      <c r="A44" s="118" t="s">
        <v>16</v>
      </c>
      <c r="B44" s="118"/>
      <c r="C44" s="118"/>
      <c r="D44" s="35" t="str">
        <f>D43</f>
        <v>N/A</v>
      </c>
      <c r="E44" s="54" t="s">
        <v>20</v>
      </c>
      <c r="F44" s="55">
        <f>B45</f>
        <v>630</v>
      </c>
      <c r="G44" s="68" t="e">
        <f>F44-D44+1</f>
        <v>#VALUE!</v>
      </c>
      <c r="H44" s="118" t="s">
        <v>16</v>
      </c>
      <c r="I44" s="118"/>
      <c r="J44" s="118"/>
      <c r="K44" s="35" t="str">
        <f>K43</f>
        <v>N/A</v>
      </c>
      <c r="L44" s="54" t="s">
        <v>20</v>
      </c>
      <c r="M44" s="55">
        <f>I45</f>
        <v>1530</v>
      </c>
      <c r="N44" s="36" t="e">
        <f>M44-K44+1</f>
        <v>#VALUE!</v>
      </c>
    </row>
    <row r="45" spans="1:15" ht="14.25" thickBot="1" thickTop="1">
      <c r="A45" s="29" t="s">
        <v>26</v>
      </c>
      <c r="B45" s="34">
        <f>G4+630</f>
        <v>630</v>
      </c>
      <c r="C45" s="23"/>
      <c r="D45" s="39" t="s">
        <v>3</v>
      </c>
      <c r="E45" s="57" t="s">
        <v>1</v>
      </c>
      <c r="F45" s="57" t="s">
        <v>2</v>
      </c>
      <c r="G45" s="69"/>
      <c r="H45" s="29" t="s">
        <v>33</v>
      </c>
      <c r="I45" s="34">
        <f>G4+1530</f>
        <v>1530</v>
      </c>
      <c r="J45" s="23"/>
      <c r="K45" s="39" t="s">
        <v>3</v>
      </c>
      <c r="L45" s="57" t="s">
        <v>1</v>
      </c>
      <c r="M45" s="57" t="s">
        <v>2</v>
      </c>
      <c r="N45" s="22"/>
      <c r="O45" s="3"/>
    </row>
    <row r="46" spans="1:15" ht="13.5" thickTop="1">
      <c r="A46" s="29" t="s">
        <v>23</v>
      </c>
      <c r="B46" s="106" t="s">
        <v>40</v>
      </c>
      <c r="C46" s="62" t="s">
        <v>38</v>
      </c>
      <c r="D46" s="15" t="str">
        <f>IF(F46+5&lt;$U$2,"N/A",F46+5)</f>
        <v>N/A</v>
      </c>
      <c r="E46" s="15">
        <f>F43+1</f>
        <v>615</v>
      </c>
      <c r="F46" s="15">
        <f>H$4+660</f>
        <v>644</v>
      </c>
      <c r="G46" s="65">
        <f ca="1">IF(TODAY()&gt;40421,"",IF($G$2="","",IF(AND($G$2&gt;=E46-15,$G$2&lt;F46),"-END DATE","")))</f>
      </c>
      <c r="H46" s="29" t="s">
        <v>23</v>
      </c>
      <c r="I46" s="106" t="s">
        <v>40</v>
      </c>
      <c r="J46" s="62" t="s">
        <v>38</v>
      </c>
      <c r="K46" s="15" t="str">
        <f>IF(M46+5&lt;$U$2,"N/A",M46+5)</f>
        <v>N/A</v>
      </c>
      <c r="L46" s="15">
        <f>M43+1</f>
        <v>1515</v>
      </c>
      <c r="M46" s="15">
        <f>H$4+1560</f>
        <v>1544</v>
      </c>
      <c r="N46" s="65">
        <f ca="1">IF(TODAY()&gt;40421,"",IF($G$2="","",IF(AND($G$2&gt;=L46-15,$G$2&lt;M46),"-END DATE","")))</f>
      </c>
      <c r="O46" s="3"/>
    </row>
    <row r="47" spans="1:15" ht="12.75">
      <c r="A47" s="1"/>
      <c r="C47" s="62" t="s">
        <v>38</v>
      </c>
      <c r="D47" s="15" t="str">
        <f>IF(F47+5&lt;$U$2,"N/A",F47+5)</f>
        <v>N/A</v>
      </c>
      <c r="E47" s="15">
        <f>F46+1</f>
        <v>645</v>
      </c>
      <c r="F47" s="15">
        <f>H$4+690</f>
        <v>674</v>
      </c>
      <c r="G47" s="65">
        <f ca="1">IF(TODAY()&gt;40421,"",IF($G$2="","",IF(AND($G$2&gt;=E47-15,$G$2&lt;F47),"-END DATE","")))</f>
      </c>
      <c r="H47" s="8"/>
      <c r="I47" s="5"/>
      <c r="J47" s="62" t="s">
        <v>38</v>
      </c>
      <c r="K47" s="15" t="str">
        <f>IF(M47+5&lt;$U$2,"N/A",M47+5)</f>
        <v>N/A</v>
      </c>
      <c r="L47" s="15">
        <f>M46+1</f>
        <v>1545</v>
      </c>
      <c r="M47" s="15">
        <f>H$4+1590</f>
        <v>1574</v>
      </c>
      <c r="N47" s="65">
        <f ca="1">IF(TODAY()&gt;40421,"",IF($G$2="","",IF(AND($G$2&gt;=L47-15,$G$2&lt;M47),"-END DATE","")))</f>
      </c>
      <c r="O47" s="3"/>
    </row>
    <row r="48" spans="1:15" ht="12.75">
      <c r="A48" s="1"/>
      <c r="C48" s="62" t="s">
        <v>38</v>
      </c>
      <c r="D48" s="15" t="str">
        <f>IF(F48+5&lt;$U$2,"N/A",F48+5)</f>
        <v>N/A</v>
      </c>
      <c r="E48" s="15">
        <f>F47+1</f>
        <v>675</v>
      </c>
      <c r="F48" s="15">
        <f>H$4+720</f>
        <v>704</v>
      </c>
      <c r="G48" s="65">
        <f ca="1">IF(TODAY()&gt;40421,"",IF($G$2="","",IF(AND($G$2&gt;=E48-15,$G$2&lt;F48),"-END DATE","")))</f>
      </c>
      <c r="H48" s="8"/>
      <c r="I48" s="5"/>
      <c r="J48" s="62" t="s">
        <v>38</v>
      </c>
      <c r="K48" s="15" t="str">
        <f>IF(M48+5&lt;$U$2,"N/A",M48+5)</f>
        <v>N/A</v>
      </c>
      <c r="L48" s="15">
        <f>M47+1</f>
        <v>1575</v>
      </c>
      <c r="M48" s="15">
        <f>H$4+1620</f>
        <v>1604</v>
      </c>
      <c r="N48" s="65">
        <f ca="1">IF(TODAY()&gt;40421,"",IF($G$2="","",IF(AND($G$2&gt;=L48-15,$G$2&lt;M48),"-END DATE","")))</f>
      </c>
      <c r="O48" s="3"/>
    </row>
    <row r="49" spans="1:14" s="38" customFormat="1" ht="6.75" customHeight="1" thickBot="1">
      <c r="A49" s="118" t="s">
        <v>16</v>
      </c>
      <c r="B49" s="118"/>
      <c r="C49" s="118"/>
      <c r="D49" s="35" t="str">
        <f>D48</f>
        <v>N/A</v>
      </c>
      <c r="E49" s="54" t="s">
        <v>20</v>
      </c>
      <c r="F49" s="55">
        <f>B50</f>
        <v>720</v>
      </c>
      <c r="G49" s="68" t="e">
        <f>F49-D49+1</f>
        <v>#VALUE!</v>
      </c>
      <c r="H49" s="118" t="s">
        <v>16</v>
      </c>
      <c r="I49" s="118"/>
      <c r="J49" s="118"/>
      <c r="K49" s="35" t="str">
        <f>K48</f>
        <v>N/A</v>
      </c>
      <c r="L49" s="41" t="s">
        <v>20</v>
      </c>
      <c r="M49" s="42">
        <f>I50</f>
        <v>1620</v>
      </c>
      <c r="N49" s="36" t="e">
        <f>M49-K49+1</f>
        <v>#VALUE!</v>
      </c>
    </row>
    <row r="50" spans="1:15" ht="14.25" thickBot="1" thickTop="1">
      <c r="A50" s="29" t="s">
        <v>25</v>
      </c>
      <c r="B50" s="34">
        <f>G4+720</f>
        <v>720</v>
      </c>
      <c r="C50" s="23"/>
      <c r="D50" s="39" t="s">
        <v>3</v>
      </c>
      <c r="E50" s="57" t="s">
        <v>1</v>
      </c>
      <c r="F50" s="57" t="s">
        <v>2</v>
      </c>
      <c r="G50" s="69"/>
      <c r="H50" s="29" t="s">
        <v>34</v>
      </c>
      <c r="I50" s="34">
        <f>G4+1620</f>
        <v>1620</v>
      </c>
      <c r="J50" s="23"/>
      <c r="K50" s="39" t="s">
        <v>3</v>
      </c>
      <c r="L50" s="40" t="s">
        <v>1</v>
      </c>
      <c r="M50" s="40" t="s">
        <v>2</v>
      </c>
      <c r="N50" s="22"/>
      <c r="O50" s="3"/>
    </row>
    <row r="51" spans="1:15" ht="13.5" thickTop="1">
      <c r="A51" s="29" t="s">
        <v>23</v>
      </c>
      <c r="B51" s="106" t="s">
        <v>40</v>
      </c>
      <c r="C51" s="62" t="s">
        <v>38</v>
      </c>
      <c r="D51" s="15" t="str">
        <f>IF(F51+5&lt;$U$2,"N/A",F51+5)</f>
        <v>N/A</v>
      </c>
      <c r="E51" s="15">
        <f>F48+1</f>
        <v>705</v>
      </c>
      <c r="F51" s="15">
        <f>H$4+750</f>
        <v>734</v>
      </c>
      <c r="G51" s="65">
        <f ca="1">IF(TODAY()&gt;40421,"",IF($G$2="","",IF(AND($G$2&gt;=E51-15,$G$2&lt;F51),"-END DATE","")))</f>
      </c>
      <c r="H51" s="29" t="s">
        <v>23</v>
      </c>
      <c r="I51" s="106" t="s">
        <v>40</v>
      </c>
      <c r="J51" s="62" t="s">
        <v>38</v>
      </c>
      <c r="K51" s="15" t="str">
        <f>IF(M51+5&lt;$U$2,"N/A",M51+5)</f>
        <v>N/A</v>
      </c>
      <c r="L51" s="15">
        <f>M48+1</f>
        <v>1605</v>
      </c>
      <c r="M51" s="15">
        <f>H$4+1650</f>
        <v>1634</v>
      </c>
      <c r="N51" s="65">
        <f ca="1">IF(TODAY()&gt;40421,"",IF($G$2="","",IF(AND($G$2&gt;=L51-15,$G$2&lt;M51),"-END DATE","")))</f>
      </c>
      <c r="O51" s="3"/>
    </row>
    <row r="52" spans="3:15" ht="12.75">
      <c r="C52" s="62" t="s">
        <v>38</v>
      </c>
      <c r="D52" s="15" t="str">
        <f>IF(F52+5&lt;$U$2,"N/A",F52+5)</f>
        <v>N/A</v>
      </c>
      <c r="E52" s="15">
        <f>F51+1</f>
        <v>735</v>
      </c>
      <c r="F52" s="15">
        <f>H$4+780</f>
        <v>764</v>
      </c>
      <c r="G52" s="65">
        <f ca="1">IF(TODAY()&gt;40421,"",IF($G$2="","",IF(AND($G$2&gt;=E52-15,$G$2&lt;F52),"-END DATE","")))</f>
      </c>
      <c r="H52" s="8"/>
      <c r="I52" s="5"/>
      <c r="J52" s="62" t="s">
        <v>38</v>
      </c>
      <c r="K52" s="15" t="str">
        <f>IF(M52+5&lt;$U$2,"N/A",M52+5)</f>
        <v>N/A</v>
      </c>
      <c r="L52" s="15">
        <f>M51+1</f>
        <v>1635</v>
      </c>
      <c r="M52" s="15">
        <f>H$4+1680</f>
        <v>1664</v>
      </c>
      <c r="N52" s="65">
        <f ca="1">IF(TODAY()&gt;40421,"",IF($G$2="","",IF(AND($G$2&gt;=L52-15,$G$2&lt;M52),"-END DATE","")))</f>
      </c>
      <c r="O52" s="3"/>
    </row>
    <row r="53" spans="3:15" ht="12.75">
      <c r="C53" s="62" t="s">
        <v>38</v>
      </c>
      <c r="D53" s="15" t="str">
        <f>IF(F53+5&lt;$U$2,"N/A",F53+5)</f>
        <v>N/A</v>
      </c>
      <c r="E53" s="15">
        <f>F52+1</f>
        <v>765</v>
      </c>
      <c r="F53" s="15">
        <f>H$4+810</f>
        <v>794</v>
      </c>
      <c r="G53" s="65">
        <f ca="1">IF(TODAY()&gt;40421,"",IF($G$2="","",IF(AND($G$2&gt;=E53-15,$G$2&lt;F53),"-END DATE","")))</f>
      </c>
      <c r="H53" s="8"/>
      <c r="I53" s="5"/>
      <c r="J53" s="62" t="s">
        <v>38</v>
      </c>
      <c r="K53" s="15" t="str">
        <f>IF(M53+5&lt;$U$2,"N/A",M53+5)</f>
        <v>N/A</v>
      </c>
      <c r="L53" s="15">
        <f>M52+1</f>
        <v>1665</v>
      </c>
      <c r="M53" s="15">
        <f>H$4+1710</f>
        <v>1694</v>
      </c>
      <c r="N53" s="65">
        <f ca="1">IF(TODAY()&gt;40421,"",IF($G$2="","",IF(AND($G$2&gt;=L53-15,$G$2&lt;M53),"-END DATE","")))</f>
      </c>
      <c r="O53" s="3"/>
    </row>
    <row r="54" spans="1:15" s="38" customFormat="1" ht="6.75" customHeight="1" thickBot="1">
      <c r="A54" s="118" t="s">
        <v>16</v>
      </c>
      <c r="B54" s="118"/>
      <c r="C54" s="118"/>
      <c r="D54" s="35" t="str">
        <f>D53</f>
        <v>N/A</v>
      </c>
      <c r="E54" s="54" t="s">
        <v>20</v>
      </c>
      <c r="F54" s="55">
        <f>B55</f>
        <v>810</v>
      </c>
      <c r="G54" s="68" t="e">
        <f>F54-D54+1</f>
        <v>#VALUE!</v>
      </c>
      <c r="H54" s="118" t="s">
        <v>16</v>
      </c>
      <c r="I54" s="118"/>
      <c r="J54" s="118"/>
      <c r="K54" s="35" t="str">
        <f>K53</f>
        <v>N/A</v>
      </c>
      <c r="L54" s="54" t="s">
        <v>20</v>
      </c>
      <c r="M54" s="55">
        <f>I55</f>
        <v>1710</v>
      </c>
      <c r="N54" s="36" t="e">
        <f>M54-K54+1</f>
        <v>#VALUE!</v>
      </c>
      <c r="O54" s="37"/>
    </row>
    <row r="55" spans="1:14" ht="14.25" thickBot="1" thickTop="1">
      <c r="A55" s="29" t="s">
        <v>24</v>
      </c>
      <c r="B55" s="34">
        <f>G$4+810</f>
        <v>810</v>
      </c>
      <c r="C55" s="23"/>
      <c r="D55" s="39" t="s">
        <v>3</v>
      </c>
      <c r="E55" s="57" t="s">
        <v>1</v>
      </c>
      <c r="F55" s="57" t="s">
        <v>2</v>
      </c>
      <c r="G55" s="70"/>
      <c r="H55" s="29" t="s">
        <v>35</v>
      </c>
      <c r="I55" s="34">
        <f>G4+1710</f>
        <v>1710</v>
      </c>
      <c r="J55" s="19"/>
      <c r="K55" s="56" t="s">
        <v>3</v>
      </c>
      <c r="L55" s="57" t="s">
        <v>1</v>
      </c>
      <c r="M55" s="57" t="s">
        <v>2</v>
      </c>
      <c r="N55" s="17"/>
    </row>
    <row r="56" spans="1:14" ht="13.5" thickTop="1">
      <c r="A56" s="29" t="s">
        <v>23</v>
      </c>
      <c r="B56" s="106" t="s">
        <v>40</v>
      </c>
      <c r="C56" s="62" t="s">
        <v>38</v>
      </c>
      <c r="D56" s="15" t="str">
        <f>IF(F56+5&lt;$U$2,"N/A",F56+5)</f>
        <v>N/A</v>
      </c>
      <c r="E56" s="15">
        <f>F53+1</f>
        <v>795</v>
      </c>
      <c r="F56" s="15">
        <f>H$4+840</f>
        <v>824</v>
      </c>
      <c r="G56" s="65">
        <f ca="1">IF(TODAY()&gt;40421,"",IF($G$2="","",IF(AND($G$2&gt;=E56-15,$G$2&lt;F56),"-END DATE","")))</f>
      </c>
      <c r="H56" s="29" t="s">
        <v>23</v>
      </c>
      <c r="I56" s="106" t="s">
        <v>40</v>
      </c>
      <c r="J56" s="62" t="s">
        <v>38</v>
      </c>
      <c r="K56" s="15" t="str">
        <f>IF(M56+5&lt;$U$2,"N/A",M56+5)</f>
        <v>N/A</v>
      </c>
      <c r="L56" s="15">
        <f>M53+1</f>
        <v>1695</v>
      </c>
      <c r="M56" s="15">
        <f>H$4+1740</f>
        <v>1724</v>
      </c>
      <c r="N56" s="65">
        <f ca="1">IF(TODAY()&gt;40421,"",IF($G$2="","",IF(AND($G$2&gt;=L56-15,$G$2&lt;M56),"-END DATE","")))</f>
      </c>
    </row>
    <row r="57" spans="3:14" ht="12.75">
      <c r="C57" s="62" t="s">
        <v>38</v>
      </c>
      <c r="D57" s="15" t="str">
        <f>IF(F57+5&lt;$U$2,"N/A",F57+5)</f>
        <v>N/A</v>
      </c>
      <c r="E57" s="15">
        <f>F56+1</f>
        <v>825</v>
      </c>
      <c r="F57" s="15">
        <f>H$4+870</f>
        <v>854</v>
      </c>
      <c r="G57" s="65">
        <f ca="1">IF(TODAY()&gt;40421,"",IF($G$2="","",IF(AND($G$2&gt;=E57-15,$G$2&lt;F57),"-END DATE","")))</f>
      </c>
      <c r="H57" s="1"/>
      <c r="I57" s="21"/>
      <c r="J57" s="62" t="s">
        <v>38</v>
      </c>
      <c r="K57" s="15" t="str">
        <f>IF(M57+5&lt;$U$2,"N/A",M57+5)</f>
        <v>N/A</v>
      </c>
      <c r="L57" s="15">
        <f>M56+1</f>
        <v>1725</v>
      </c>
      <c r="M57" s="15">
        <f>H$4+1770</f>
        <v>1754</v>
      </c>
      <c r="N57" s="65">
        <f ca="1">IF(TODAY()&gt;40421,"",IF($G$2="","",IF(AND($G$2&gt;=L57-15,$G$2&lt;M57),"-END DATE","")))</f>
      </c>
    </row>
    <row r="58" spans="3:14" ht="12.75">
      <c r="C58" s="62" t="s">
        <v>38</v>
      </c>
      <c r="D58" s="15" t="str">
        <f>IF(F58+5&lt;$U$2,"N/A",F58+5)</f>
        <v>N/A</v>
      </c>
      <c r="E58" s="15">
        <f>F57+1</f>
        <v>855</v>
      </c>
      <c r="F58" s="15">
        <f>H$4+900</f>
        <v>884</v>
      </c>
      <c r="G58" s="65">
        <f ca="1">IF(TODAY()&gt;40421,"",IF($G$2="","",IF(AND($G$2&gt;=E58-15,$G$2&lt;F58),"-END DATE","")))</f>
      </c>
      <c r="H58" s="1"/>
      <c r="I58" s="21"/>
      <c r="J58" s="62" t="s">
        <v>38</v>
      </c>
      <c r="K58" s="15" t="str">
        <f>IF(M58+5&lt;$U$2,"N/A",M58+5)</f>
        <v>N/A</v>
      </c>
      <c r="L58" s="15">
        <f>M57+1</f>
        <v>1755</v>
      </c>
      <c r="M58" s="15">
        <f>H$4+1800</f>
        <v>1784</v>
      </c>
      <c r="N58" s="65">
        <f ca="1">IF(TODAY()&gt;40421,"",IF($G$2="","",IF(AND($G$2&gt;=L58-15,$G$2&lt;M58),"-END DATE","")))</f>
      </c>
    </row>
    <row r="59" ht="12.75">
      <c r="N59" s="28"/>
    </row>
  </sheetData>
  <sheetProtection password="C9BC" sheet="1" objects="1" scenarios="1" selectLockedCells="1"/>
  <mergeCells count="32">
    <mergeCell ref="H49:J49"/>
    <mergeCell ref="H54:J54"/>
    <mergeCell ref="A54:C54"/>
    <mergeCell ref="H9:J9"/>
    <mergeCell ref="H14:J14"/>
    <mergeCell ref="H19:J19"/>
    <mergeCell ref="H24:J24"/>
    <mergeCell ref="A49:C49"/>
    <mergeCell ref="A44:C44"/>
    <mergeCell ref="A19:C19"/>
    <mergeCell ref="E4:F4"/>
    <mergeCell ref="B4:D4"/>
    <mergeCell ref="I4:K4"/>
    <mergeCell ref="H34:J34"/>
    <mergeCell ref="D5:F5"/>
    <mergeCell ref="H29:J29"/>
    <mergeCell ref="H39:J39"/>
    <mergeCell ref="H44:J44"/>
    <mergeCell ref="H6:I7"/>
    <mergeCell ref="G6:G7"/>
    <mergeCell ref="A24:C24"/>
    <mergeCell ref="A29:C29"/>
    <mergeCell ref="E6:F6"/>
    <mergeCell ref="A34:C34"/>
    <mergeCell ref="A39:C39"/>
    <mergeCell ref="A14:C14"/>
    <mergeCell ref="A2:E2"/>
    <mergeCell ref="H2:N2"/>
    <mergeCell ref="N6:N7"/>
    <mergeCell ref="L6:M6"/>
    <mergeCell ref="A6:B7"/>
    <mergeCell ref="H5:J5"/>
  </mergeCells>
  <conditionalFormatting sqref="J12:J13 C22:C23 C27:C28 C32:C33 C37:C38 C42:C43 C47:C48 C52:C53 C57:C58 J17:J18 J22:J23 J27:J28 J32:J33 J37:J38 J42:J43 J47:J48 J52:J53 J57:J58 C17:C18 C13">
    <cfRule type="expression" priority="1" dxfId="0" stopIfTrue="1">
      <formula>AND(TODAY()&lt;=D12,TODAY()&gt;D11)</formula>
    </cfRule>
  </conditionalFormatting>
  <conditionalFormatting sqref="J56 C26 C31 C36 C41 C46 C51 C56 J16 J21 J26 J31 J36 J41 J46 J51">
    <cfRule type="expression" priority="2" dxfId="0" stopIfTrue="1">
      <formula>AND(TODAY()&lt;=D16,TODAY()&gt;D13)</formula>
    </cfRule>
  </conditionalFormatting>
  <conditionalFormatting sqref="J11">
    <cfRule type="expression" priority="3" dxfId="0" stopIfTrue="1">
      <formula>AND(TODAY()&lt;=K11,TODAY()&gt;D58)</formula>
    </cfRule>
  </conditionalFormatting>
  <conditionalFormatting sqref="G12">
    <cfRule type="expression" priority="4" dxfId="27" stopIfTrue="1">
      <formula>AND(TODAY()&lt;D12,TODAY()&gt;E11)</formula>
    </cfRule>
  </conditionalFormatting>
  <conditionalFormatting sqref="G17:G18 N51:N53 N46:N48 G21:G23 N41:N43 G26:G28 G31:G33 G36:G38 G41:G43 G46:G48 G51:G53 G56:G58 N11:N13 N16:N18 N21:N23 N26:N28 N31:N33 N36:N38 N56:N58">
    <cfRule type="expression" priority="5" dxfId="27" stopIfTrue="1">
      <formula>F11-$G$2&gt;=15</formula>
    </cfRule>
  </conditionalFormatting>
  <conditionalFormatting sqref="F2:F3">
    <cfRule type="expression" priority="6" dxfId="26" stopIfTrue="1">
      <formula>$Q$2=0</formula>
    </cfRule>
  </conditionalFormatting>
  <conditionalFormatting sqref="B9 B11 B15 B20 B25 D21:F23 D16:F18 D26:F28 E12:F13">
    <cfRule type="expression" priority="7" dxfId="25" stopIfTrue="1">
      <formula>$G$4=""</formula>
    </cfRule>
  </conditionalFormatting>
  <conditionalFormatting sqref="H55:I58 K55:M58 J55">
    <cfRule type="expression" priority="8" dxfId="3" stopIfTrue="1">
      <formula>$M$4&lt;16</formula>
    </cfRule>
  </conditionalFormatting>
  <conditionalFormatting sqref="H49:I53 K49:M53 J49:J50">
    <cfRule type="expression" priority="9" dxfId="3" stopIfTrue="1">
      <formula>$M$4&lt;15</formula>
    </cfRule>
  </conditionalFormatting>
  <conditionalFormatting sqref="H45:I48 K45:M48 J45">
    <cfRule type="expression" priority="10" dxfId="3" stopIfTrue="1">
      <formula>$M$4&lt;14</formula>
    </cfRule>
  </conditionalFormatting>
  <conditionalFormatting sqref="H40:I43 K40:M43 J40">
    <cfRule type="expression" priority="11" dxfId="3" stopIfTrue="1">
      <formula>$M$4&lt;13</formula>
    </cfRule>
  </conditionalFormatting>
  <conditionalFormatting sqref="H35:I38 K35:M38 J35">
    <cfRule type="expression" priority="12" dxfId="3" stopIfTrue="1">
      <formula>$M$4&lt;12</formula>
    </cfRule>
  </conditionalFormatting>
  <conditionalFormatting sqref="H30:I33 K30:M33 J30">
    <cfRule type="expression" priority="13" dxfId="3" stopIfTrue="1">
      <formula>$M$4&lt;11</formula>
    </cfRule>
  </conditionalFormatting>
  <conditionalFormatting sqref="H25:I28 K25:M28 J25">
    <cfRule type="expression" priority="14" dxfId="3" stopIfTrue="1">
      <formula>$M$4&lt;10</formula>
    </cfRule>
  </conditionalFormatting>
  <conditionalFormatting sqref="H20:I23 K20:M23 J20">
    <cfRule type="expression" priority="15" dxfId="3" stopIfTrue="1">
      <formula>$M$4&lt;9</formula>
    </cfRule>
  </conditionalFormatting>
  <conditionalFormatting sqref="H15:I18 K15:M18 J15">
    <cfRule type="expression" priority="16" dxfId="3" stopIfTrue="1">
      <formula>$M$4&lt;8</formula>
    </cfRule>
  </conditionalFormatting>
  <conditionalFormatting sqref="H6:M7 H10:I13 K10:M13 J10">
    <cfRule type="expression" priority="17" dxfId="3" stopIfTrue="1">
      <formula>$M$4&lt;7</formula>
    </cfRule>
  </conditionalFormatting>
  <conditionalFormatting sqref="A55:B58 D55:F58 C55">
    <cfRule type="expression" priority="18" dxfId="3" stopIfTrue="1">
      <formula>$M$4&lt;6</formula>
    </cfRule>
  </conditionalFormatting>
  <conditionalFormatting sqref="A50:B53 D50:F53 C50">
    <cfRule type="expression" priority="19" dxfId="3" stopIfTrue="1">
      <formula>$M$4&lt;5</formula>
    </cfRule>
  </conditionalFormatting>
  <conditionalFormatting sqref="D45:F48 A45:A48 B45:C45 B47:B48">
    <cfRule type="expression" priority="20" dxfId="3" stopIfTrue="1">
      <formula>$M$4&lt;4</formula>
    </cfRule>
  </conditionalFormatting>
  <conditionalFormatting sqref="D40:F43 A40:C40 A42:B43">
    <cfRule type="expression" priority="21" dxfId="3" stopIfTrue="1">
      <formula>$M$4&lt;3</formula>
    </cfRule>
  </conditionalFormatting>
  <conditionalFormatting sqref="A35:B38 C35 D35:F38">
    <cfRule type="expression" priority="22" dxfId="3" stopIfTrue="1">
      <formula>$M$4&lt;2</formula>
    </cfRule>
  </conditionalFormatting>
  <conditionalFormatting sqref="E30:F33 A30:B33 C30:D30 D32:D33">
    <cfRule type="expression" priority="23" dxfId="3" stopIfTrue="1">
      <formula>$M$4&lt;1</formula>
    </cfRule>
  </conditionalFormatting>
  <conditionalFormatting sqref="I4:L4">
    <cfRule type="expression" priority="24" dxfId="8" stopIfTrue="1">
      <formula>$G$4=""</formula>
    </cfRule>
  </conditionalFormatting>
  <conditionalFormatting sqref="G2">
    <cfRule type="expression" priority="25" dxfId="66" stopIfTrue="1">
      <formula>$Q$2=0</formula>
    </cfRule>
  </conditionalFormatting>
  <conditionalFormatting sqref="A41:B41">
    <cfRule type="expression" priority="26" dxfId="3" stopIfTrue="1">
      <formula>$M$4&lt;3</formula>
    </cfRule>
  </conditionalFormatting>
  <conditionalFormatting sqref="B46">
    <cfRule type="expression" priority="27" dxfId="3" stopIfTrue="1">
      <formula>$M$4&lt;4</formula>
    </cfRule>
  </conditionalFormatting>
  <conditionalFormatting sqref="M4">
    <cfRule type="expression" priority="28" dxfId="8" stopIfTrue="1">
      <formula>$G$4=""</formula>
    </cfRule>
  </conditionalFormatting>
  <conditionalFormatting sqref="D12:D13">
    <cfRule type="expression" priority="29" dxfId="25" stopIfTrue="1">
      <formula>$G$4=""</formula>
    </cfRule>
  </conditionalFormatting>
  <conditionalFormatting sqref="D31">
    <cfRule type="expression" priority="30" dxfId="3" stopIfTrue="1">
      <formula>$M$4&lt;1</formula>
    </cfRule>
  </conditionalFormatting>
  <conditionalFormatting sqref="G16 G13">
    <cfRule type="expression" priority="31" dxfId="27" stopIfTrue="1">
      <formula>F13-$G$2&gt;=15</formula>
    </cfRule>
  </conditionalFormatting>
  <conditionalFormatting sqref="C12">
    <cfRule type="expression" priority="32" dxfId="34" stopIfTrue="1">
      <formula>D12="N/A"</formula>
    </cfRule>
    <cfRule type="expression" priority="33" dxfId="0" stopIfTrue="1">
      <formula>AND(TODAY()&lt;=D12,TODAY()&gt;=B9)</formula>
    </cfRule>
  </conditionalFormatting>
  <conditionalFormatting sqref="C16 C21">
    <cfRule type="expression" priority="34" dxfId="0" stopIfTrue="1">
      <formula>AND(TODAY()&lt;=D16,TODAY()&gt;D13)</formula>
    </cfRule>
  </conditionalFormatting>
  <printOptions/>
  <pageMargins left="0.5" right="0.5" top="1" bottom="0.5" header="0.5" footer="0.5"/>
  <pageSetup horizontalDpi="600" verticalDpi="600" orientation="portrait" r:id="rId2"/>
  <headerFooter alignWithMargins="0">
    <oddHeader>&amp;C&amp;"Times New Roman,Bold"&amp;14Monthly Treatment Plan Progress Report Schedule&amp;"Arial,Regular"&amp;10
</oddHeader>
    <oddFooter>&amp;L&amp;8&amp;Z&amp;F</oddFooter>
  </headerFooter>
  <legacyDrawing r:id="rId1"/>
</worksheet>
</file>

<file path=xl/worksheets/sheet2.xml><?xml version="1.0" encoding="utf-8"?>
<worksheet xmlns="http://schemas.openxmlformats.org/spreadsheetml/2006/main" xmlns:r="http://schemas.openxmlformats.org/officeDocument/2006/relationships">
  <sheetPr>
    <tabColor indexed="55"/>
  </sheetPr>
  <dimension ref="A2:U59"/>
  <sheetViews>
    <sheetView showGridLines="0" zoomScale="130" zoomScaleNormal="130" zoomScalePageLayoutView="0" workbookViewId="0" topLeftCell="A1">
      <pane ySplit="7" topLeftCell="A8" activePane="bottomLeft" state="frozen"/>
      <selection pane="topLeft" activeCell="A1" sqref="A1"/>
      <selection pane="bottomLeft" activeCell="G3" sqref="G3"/>
    </sheetView>
  </sheetViews>
  <sheetFormatPr defaultColWidth="9.140625" defaultRowHeight="12.75"/>
  <cols>
    <col min="1" max="1" width="8.8515625" style="8" customWidth="1"/>
    <col min="2" max="2" width="8.140625" style="5" customWidth="1"/>
    <col min="3" max="3" width="3.140625" style="9" customWidth="1"/>
    <col min="4" max="5" width="8.140625" style="5" customWidth="1"/>
    <col min="6" max="6" width="8.140625" style="24" customWidth="1"/>
    <col min="7" max="7" width="8.8515625" style="4" customWidth="1"/>
    <col min="8" max="8" width="9.140625" style="3" customWidth="1"/>
    <col min="9" max="9" width="8.140625" style="3" customWidth="1"/>
    <col min="10" max="10" width="2.421875" style="3" customWidth="1"/>
    <col min="11" max="11" width="8.140625" style="4" customWidth="1"/>
    <col min="12" max="12" width="8.140625" style="5" customWidth="1"/>
    <col min="13" max="13" width="8.140625" style="3" customWidth="1"/>
    <col min="14" max="14" width="7.57421875" style="6" customWidth="1"/>
    <col min="15" max="15" width="9.140625" style="4" customWidth="1"/>
    <col min="16" max="16" width="16.140625" style="3" customWidth="1"/>
    <col min="17" max="17" width="10.00390625" style="3" hidden="1" customWidth="1"/>
    <col min="18" max="20" width="0" style="3" hidden="1" customWidth="1"/>
    <col min="21" max="21" width="10.00390625" style="3" hidden="1" customWidth="1"/>
    <col min="22" max="16384" width="9.140625" style="3" customWidth="1"/>
  </cols>
  <sheetData>
    <row r="1" ht="5.25" customHeight="1" thickBot="1"/>
    <row r="2" spans="1:21" ht="21.75" customHeight="1" thickBot="1" thickTop="1">
      <c r="A2" s="133">
        <f ca="1">IF($F$4="","",IF($F$4&lt;(TODAY()-365)," PLACEMENT HAS EXCEEDED",""))</f>
      </c>
      <c r="B2" s="133"/>
      <c r="C2" s="133"/>
      <c r="D2" s="133"/>
      <c r="E2" s="87">
        <f ca="1">IF(A2="","",(TODAY()-$F$4)/365)</f>
      </c>
      <c r="F2" s="88" t="s">
        <v>62</v>
      </c>
      <c r="G2" s="93">
        <f>IF(MTPPRSchedule!G2="","",MTPPRSchedule!G2)</f>
      </c>
      <c r="H2" s="111">
        <f ca="1">IF(TODAY()&gt;40329,"",IF(F4="","","The START DATE of your transition MTPPR reporting period is the date to the left plus one day.  The END DATE for that period is noted in blue in the table below"))</f>
      </c>
      <c r="I2" s="111"/>
      <c r="J2" s="111"/>
      <c r="K2" s="111"/>
      <c r="L2" s="111"/>
      <c r="M2" s="111"/>
      <c r="N2" s="111"/>
      <c r="Q2" s="3">
        <f>COUNTBLANK(A2)</f>
        <v>1</v>
      </c>
      <c r="U2" s="91">
        <f>MTPPRSchedule!U2</f>
        <v>40354</v>
      </c>
    </row>
    <row r="3" spans="1:14" ht="5.25" customHeight="1" thickBot="1" thickTop="1">
      <c r="A3" s="72"/>
      <c r="B3" s="72"/>
      <c r="C3" s="72"/>
      <c r="D3" s="72"/>
      <c r="E3" s="72"/>
      <c r="F3" s="63"/>
      <c r="G3" s="71"/>
      <c r="H3" s="73"/>
      <c r="I3" s="73"/>
      <c r="J3" s="73"/>
      <c r="K3" s="73"/>
      <c r="L3" s="73"/>
      <c r="M3" s="73"/>
      <c r="N3" s="73"/>
    </row>
    <row r="4" spans="1:19" ht="17.25" thickBot="1" thickTop="1">
      <c r="A4" s="46" t="s">
        <v>4</v>
      </c>
      <c r="B4" s="130">
        <f>IF(MTPPRSchedule!B4="","",MTPPRSchedule!B4)</f>
      </c>
      <c r="C4" s="131"/>
      <c r="D4" s="132"/>
      <c r="E4" s="78" t="s">
        <v>41</v>
      </c>
      <c r="F4" s="92">
        <f>IF(MTPPRSchedule!G4="","",MTPPRSchedule!G4)</f>
      </c>
      <c r="G4" s="79">
        <f>IF(MTPPRSchedule!G4="","",MTPPRSchedule!G4+1710)</f>
      </c>
      <c r="H4" s="2" t="e">
        <f>G4-16</f>
        <v>#VALUE!</v>
      </c>
      <c r="I4" s="124" t="s">
        <v>37</v>
      </c>
      <c r="J4" s="125"/>
      <c r="K4" s="125"/>
      <c r="L4" s="75"/>
      <c r="M4" s="76">
        <v>0</v>
      </c>
      <c r="P4" s="7"/>
      <c r="Q4" s="24">
        <f ca="1">TODAY()</f>
        <v>42634</v>
      </c>
      <c r="S4" s="24" t="e">
        <f>D18+30</f>
        <v>#VALUE!</v>
      </c>
    </row>
    <row r="5" spans="4:14" ht="6.75" customHeight="1" thickTop="1">
      <c r="D5" s="126"/>
      <c r="E5" s="126"/>
      <c r="F5" s="126"/>
      <c r="H5" s="117"/>
      <c r="I5" s="117"/>
      <c r="J5" s="117"/>
      <c r="L5" s="25"/>
      <c r="M5" s="25"/>
      <c r="N5" s="25"/>
    </row>
    <row r="6" spans="1:17" ht="12.75" customHeight="1">
      <c r="A6" s="115" t="s">
        <v>17</v>
      </c>
      <c r="B6" s="115"/>
      <c r="D6" s="10" t="s">
        <v>0</v>
      </c>
      <c r="E6" s="113" t="s">
        <v>7</v>
      </c>
      <c r="F6" s="114"/>
      <c r="G6" s="119" t="s">
        <v>18</v>
      </c>
      <c r="H6" s="116" t="s">
        <v>17</v>
      </c>
      <c r="I6" s="116"/>
      <c r="J6" s="12"/>
      <c r="K6" s="10" t="s">
        <v>0</v>
      </c>
      <c r="L6" s="113" t="s">
        <v>7</v>
      </c>
      <c r="M6" s="114"/>
      <c r="N6" s="112" t="s">
        <v>18</v>
      </c>
      <c r="O6" s="3"/>
      <c r="Q6" s="24">
        <f>Q4-30</f>
        <v>42604</v>
      </c>
    </row>
    <row r="7" spans="1:15" ht="11.25" customHeight="1">
      <c r="A7" s="116"/>
      <c r="B7" s="116"/>
      <c r="D7" s="13" t="s">
        <v>3</v>
      </c>
      <c r="E7" s="14" t="s">
        <v>1</v>
      </c>
      <c r="F7" s="14" t="s">
        <v>2</v>
      </c>
      <c r="G7" s="119"/>
      <c r="H7" s="116"/>
      <c r="I7" s="116"/>
      <c r="J7" s="12"/>
      <c r="K7" s="13" t="s">
        <v>3</v>
      </c>
      <c r="L7" s="14" t="s">
        <v>1</v>
      </c>
      <c r="M7" s="14" t="s">
        <v>2</v>
      </c>
      <c r="N7" s="112"/>
      <c r="O7" s="3"/>
    </row>
    <row r="8" spans="1:15" ht="6" customHeight="1">
      <c r="A8" s="11"/>
      <c r="B8" s="11"/>
      <c r="D8" s="47"/>
      <c r="E8" s="48"/>
      <c r="F8" s="48"/>
      <c r="G8" s="49"/>
      <c r="H8" s="11"/>
      <c r="I8" s="11"/>
      <c r="J8" s="50"/>
      <c r="K8" s="47"/>
      <c r="L8" s="48"/>
      <c r="M8" s="48"/>
      <c r="N8" s="49"/>
      <c r="O8" s="3"/>
    </row>
    <row r="9" spans="1:15" ht="12.75" customHeight="1" thickBot="1">
      <c r="A9" s="94" t="s">
        <v>36</v>
      </c>
      <c r="B9" s="95">
        <f>G4</f>
      </c>
      <c r="C9" s="96"/>
      <c r="D9" s="128" t="s">
        <v>61</v>
      </c>
      <c r="E9" s="128"/>
      <c r="F9" s="129"/>
      <c r="G9" s="64"/>
      <c r="H9" s="127" t="s">
        <v>19</v>
      </c>
      <c r="I9" s="127"/>
      <c r="J9" s="127"/>
      <c r="K9" s="27" t="e">
        <f>D58</f>
        <v>#VALUE!</v>
      </c>
      <c r="L9" s="58" t="s">
        <v>20</v>
      </c>
      <c r="M9" s="59" t="e">
        <f>I10</f>
        <v>#VALUE!</v>
      </c>
      <c r="N9" s="26" t="e">
        <f>M9-K9+1</f>
        <v>#VALUE!</v>
      </c>
      <c r="O9" s="3"/>
    </row>
    <row r="10" spans="1:15" ht="14.25" thickBot="1" thickTop="1">
      <c r="A10" s="101" t="s">
        <v>23</v>
      </c>
      <c r="B10" s="82" t="s">
        <v>40</v>
      </c>
      <c r="C10" s="81"/>
      <c r="D10" s="83" t="s">
        <v>11</v>
      </c>
      <c r="E10" s="84"/>
      <c r="F10" s="102"/>
      <c r="G10" s="64"/>
      <c r="H10" s="29" t="s">
        <v>51</v>
      </c>
      <c r="I10" s="34" t="e">
        <f>G4+900</f>
        <v>#VALUE!</v>
      </c>
      <c r="J10" s="19"/>
      <c r="K10" s="39" t="s">
        <v>3</v>
      </c>
      <c r="L10" s="57" t="s">
        <v>1</v>
      </c>
      <c r="M10" s="57" t="s">
        <v>2</v>
      </c>
      <c r="N10" s="20"/>
      <c r="O10" s="3"/>
    </row>
    <row r="11" spans="1:15" ht="18" customHeight="1" thickTop="1">
      <c r="A11" s="103" t="s">
        <v>6</v>
      </c>
      <c r="B11" s="80" t="e">
        <f>G4+30</f>
        <v>#VALUE!</v>
      </c>
      <c r="C11" s="84"/>
      <c r="D11" s="85" t="s">
        <v>3</v>
      </c>
      <c r="E11" s="83" t="s">
        <v>1</v>
      </c>
      <c r="F11" s="104" t="s">
        <v>2</v>
      </c>
      <c r="G11" s="64"/>
      <c r="H11" s="29" t="s">
        <v>22</v>
      </c>
      <c r="I11" s="106" t="s">
        <v>40</v>
      </c>
      <c r="J11" s="62" t="s">
        <v>38</v>
      </c>
      <c r="K11" s="15" t="e">
        <f>IF(M11+5&lt;$U$2,"N/A",M11+5)</f>
        <v>#VALUE!</v>
      </c>
      <c r="L11" s="15" t="e">
        <f>F58+1</f>
        <v>#VALUE!</v>
      </c>
      <c r="M11" s="15" t="e">
        <f>H$4+930</f>
        <v>#VALUE!</v>
      </c>
      <c r="N11" s="65">
        <f ca="1">IF(TODAY()&gt;40421,"",IF($G$2="","",IF(AND($G$2&gt;=L11-15,$G$2&lt;M11),"-END DATE","")))</f>
      </c>
      <c r="O11" s="3"/>
    </row>
    <row r="12" spans="1:15" ht="12.75">
      <c r="A12" s="103" t="s">
        <v>22</v>
      </c>
      <c r="B12" s="82" t="s">
        <v>40</v>
      </c>
      <c r="C12" s="86"/>
      <c r="D12" s="80" t="e">
        <f>F12+5</f>
        <v>#VALUE!</v>
      </c>
      <c r="E12" s="80">
        <f>G4</f>
      </c>
      <c r="F12" s="105" t="e">
        <f>G4+44</f>
        <v>#VALUE!</v>
      </c>
      <c r="G12" s="65"/>
      <c r="H12" s="1"/>
      <c r="I12" s="21"/>
      <c r="J12" s="62" t="s">
        <v>38</v>
      </c>
      <c r="K12" s="15" t="e">
        <f>IF(M12+5&lt;$U$2,"N/A",M12+5)</f>
        <v>#VALUE!</v>
      </c>
      <c r="L12" s="15" t="e">
        <f>M11+1</f>
        <v>#VALUE!</v>
      </c>
      <c r="M12" s="15" t="e">
        <f>H$4+960</f>
        <v>#VALUE!</v>
      </c>
      <c r="N12" s="65">
        <f ca="1">IF(TODAY()&gt;40421,"",IF($G$2="","",IF(AND($G$2&gt;=L12-15,$G$2&lt;M12),"-END DATE","")))</f>
      </c>
      <c r="O12" s="3"/>
    </row>
    <row r="13" spans="1:15" ht="12.75">
      <c r="A13" s="97"/>
      <c r="B13" s="98"/>
      <c r="C13" s="99"/>
      <c r="D13" s="98" t="str">
        <f>MTPPRSchedule!K58</f>
        <v>N/A</v>
      </c>
      <c r="E13" s="98" t="e">
        <f>F12+1</f>
        <v>#VALUE!</v>
      </c>
      <c r="F13" s="100" t="e">
        <f>H$4+90</f>
        <v>#VALUE!</v>
      </c>
      <c r="G13" s="65">
        <f ca="1">IF(TODAY()&gt;40329,"",IF($G$2="","",IF(AND($G$2&gt;=E13-15,$G$2&lt;F13),"-END DATE","")))</f>
      </c>
      <c r="H13" s="1"/>
      <c r="I13" s="21"/>
      <c r="J13" s="62" t="s">
        <v>38</v>
      </c>
      <c r="K13" s="15" t="e">
        <f>IF(M13+5&lt;$U$2,"N/A",M13+5)</f>
        <v>#VALUE!</v>
      </c>
      <c r="L13" s="15" t="e">
        <f>M12+1</f>
        <v>#VALUE!</v>
      </c>
      <c r="M13" s="15" t="e">
        <f>H$4+990</f>
        <v>#VALUE!</v>
      </c>
      <c r="N13" s="65">
        <f ca="1">IF(TODAY()&gt;40421,"",IF($G$2="","",IF(AND($G$2&gt;=L13-15,$G$2&lt;M13),"-END DATE","")))</f>
      </c>
      <c r="O13" s="3"/>
    </row>
    <row r="14" spans="1:14" s="38" customFormat="1" ht="6.75" customHeight="1" thickBot="1">
      <c r="A14" s="118" t="s">
        <v>16</v>
      </c>
      <c r="B14" s="118"/>
      <c r="C14" s="118"/>
      <c r="D14" s="45" t="str">
        <f>D13</f>
        <v>N/A</v>
      </c>
      <c r="E14" s="41" t="s">
        <v>20</v>
      </c>
      <c r="F14" s="43" t="e">
        <f>B15</f>
        <v>#VALUE!</v>
      </c>
      <c r="G14" s="66" t="e">
        <f>F14-D14+1</f>
        <v>#VALUE!</v>
      </c>
      <c r="H14" s="118" t="s">
        <v>19</v>
      </c>
      <c r="I14" s="118"/>
      <c r="J14" s="118"/>
      <c r="K14" s="35" t="e">
        <f>K13</f>
        <v>#VALUE!</v>
      </c>
      <c r="L14" s="54" t="s">
        <v>20</v>
      </c>
      <c r="M14" s="55" t="e">
        <f>I15</f>
        <v>#VALUE!</v>
      </c>
      <c r="N14" s="36" t="e">
        <f>M14-K14+1</f>
        <v>#VALUE!</v>
      </c>
    </row>
    <row r="15" spans="1:15" ht="14.25" thickBot="1" thickTop="1">
      <c r="A15" s="29" t="s">
        <v>42</v>
      </c>
      <c r="B15" s="34" t="e">
        <f>G4+90</f>
        <v>#VALUE!</v>
      </c>
      <c r="C15" s="19"/>
      <c r="D15" s="44" t="s">
        <v>3</v>
      </c>
      <c r="E15" s="40" t="s">
        <v>1</v>
      </c>
      <c r="F15" s="40" t="s">
        <v>2</v>
      </c>
      <c r="G15" s="67"/>
      <c r="H15" s="29" t="s">
        <v>52</v>
      </c>
      <c r="I15" s="34" t="e">
        <f>G4+990</f>
        <v>#VALUE!</v>
      </c>
      <c r="J15" s="23"/>
      <c r="K15" s="39" t="s">
        <v>3</v>
      </c>
      <c r="L15" s="57" t="s">
        <v>1</v>
      </c>
      <c r="M15" s="57" t="s">
        <v>2</v>
      </c>
      <c r="N15" s="22"/>
      <c r="O15" s="3"/>
    </row>
    <row r="16" spans="1:15" ht="13.5" thickTop="1">
      <c r="A16" s="29" t="s">
        <v>23</v>
      </c>
      <c r="B16" s="106" t="s">
        <v>40</v>
      </c>
      <c r="C16" s="62" t="s">
        <v>38</v>
      </c>
      <c r="D16" s="15" t="e">
        <f>IF(F16+5&lt;$U$2,"N/A",F16+5)</f>
        <v>#VALUE!</v>
      </c>
      <c r="E16" s="15" t="e">
        <f>F$13+1</f>
        <v>#VALUE!</v>
      </c>
      <c r="F16" s="15" t="e">
        <f>H$4+120</f>
        <v>#VALUE!</v>
      </c>
      <c r="G16" s="65">
        <f ca="1">IF(TODAY()&gt;40421,"",IF($G$2="","",IF(AND($G$2&gt;=E16-15,$G$2&lt;F16),"-END DATE","")))</f>
      </c>
      <c r="H16" s="29" t="s">
        <v>22</v>
      </c>
      <c r="I16" s="106" t="s">
        <v>40</v>
      </c>
      <c r="J16" s="62" t="s">
        <v>38</v>
      </c>
      <c r="K16" s="15" t="e">
        <f>IF(M16+5&lt;$U$2,"N/A",M16+5)</f>
        <v>#VALUE!</v>
      </c>
      <c r="L16" s="15" t="e">
        <f>M13+1</f>
        <v>#VALUE!</v>
      </c>
      <c r="M16" s="15" t="e">
        <f>H$4+1020</f>
        <v>#VALUE!</v>
      </c>
      <c r="N16" s="65">
        <f ca="1">IF(TODAY()&gt;40421,"",IF($G$2="","",IF(AND($G$2&gt;=L16-15,$G$2&lt;M16),"-END DATE","")))</f>
      </c>
      <c r="O16" s="3"/>
    </row>
    <row r="17" spans="1:15" ht="12.75">
      <c r="A17" s="1"/>
      <c r="B17" s="21"/>
      <c r="C17" s="62" t="s">
        <v>38</v>
      </c>
      <c r="D17" s="15" t="e">
        <f>IF(F17+5&lt;$U$2,"N/A",F17+5)</f>
        <v>#VALUE!</v>
      </c>
      <c r="E17" s="15" t="e">
        <f>F16+1</f>
        <v>#VALUE!</v>
      </c>
      <c r="F17" s="15" t="e">
        <f>H4+150</f>
        <v>#VALUE!</v>
      </c>
      <c r="G17" s="65">
        <f ca="1">IF(TODAY()&gt;40421,"",IF($G$2="","",IF(AND($G$2&gt;=E17-15,$G$2&lt;F17),"-END DATE","")))</f>
      </c>
      <c r="H17" s="1"/>
      <c r="I17" s="5"/>
      <c r="J17" s="62" t="s">
        <v>38</v>
      </c>
      <c r="K17" s="15" t="e">
        <f>IF(M17+5&lt;$U$2,"N/A",M17+5)</f>
        <v>#VALUE!</v>
      </c>
      <c r="L17" s="15" t="e">
        <f>M16+1</f>
        <v>#VALUE!</v>
      </c>
      <c r="M17" s="15" t="e">
        <f>H$4+1050</f>
        <v>#VALUE!</v>
      </c>
      <c r="N17" s="65">
        <f ca="1">IF(TODAY()&gt;40421,"",IF($G$2="","",IF(AND($G$2&gt;=L17-15,$G$2&lt;M17),"-END DATE","")))</f>
      </c>
      <c r="O17" s="3"/>
    </row>
    <row r="18" spans="1:15" ht="12.75">
      <c r="A18" s="1"/>
      <c r="B18" s="21"/>
      <c r="C18" s="62" t="s">
        <v>38</v>
      </c>
      <c r="D18" s="15" t="e">
        <f>IF(F18+5&lt;$U$2,"N/A",F18+5)</f>
        <v>#VALUE!</v>
      </c>
      <c r="E18" s="15" t="e">
        <f>F17+1</f>
        <v>#VALUE!</v>
      </c>
      <c r="F18" s="15" t="e">
        <f>H4+180</f>
        <v>#VALUE!</v>
      </c>
      <c r="G18" s="65">
        <f ca="1">IF(TODAY()&gt;40421,"",IF($G$2="","",IF(AND($G$2&gt;=E18-15,$G$2&lt;F18),"-END DATE","")))</f>
      </c>
      <c r="H18" s="1"/>
      <c r="I18" s="5"/>
      <c r="J18" s="62" t="s">
        <v>38</v>
      </c>
      <c r="K18" s="15" t="e">
        <f>IF(M18+5&lt;$U$2,"N/A",M18+5)</f>
        <v>#VALUE!</v>
      </c>
      <c r="L18" s="15" t="e">
        <f>M17+1</f>
        <v>#VALUE!</v>
      </c>
      <c r="M18" s="15" t="e">
        <f>H$4+1080</f>
        <v>#VALUE!</v>
      </c>
      <c r="N18" s="65">
        <f ca="1">IF(TODAY()&gt;40421,"",IF($G$2="","",IF(AND($G$2&gt;=L18-15,$G$2&lt;M18),"-END DATE","")))</f>
      </c>
      <c r="O18" s="3"/>
    </row>
    <row r="19" spans="1:14" s="38" customFormat="1" ht="6.75" customHeight="1" thickBot="1">
      <c r="A19" s="118" t="s">
        <v>16</v>
      </c>
      <c r="B19" s="118"/>
      <c r="C19" s="118"/>
      <c r="D19" s="35" t="e">
        <f>D18</f>
        <v>#VALUE!</v>
      </c>
      <c r="E19" s="41" t="s">
        <v>21</v>
      </c>
      <c r="F19" s="43" t="e">
        <f>B20</f>
        <v>#VALUE!</v>
      </c>
      <c r="G19" s="68" t="e">
        <f>F19-D19+1</f>
        <v>#VALUE!</v>
      </c>
      <c r="H19" s="118" t="s">
        <v>16</v>
      </c>
      <c r="I19" s="118"/>
      <c r="J19" s="118"/>
      <c r="K19" s="35" t="e">
        <f>K18</f>
        <v>#VALUE!</v>
      </c>
      <c r="L19" s="54" t="s">
        <v>20</v>
      </c>
      <c r="M19" s="55" t="e">
        <f>I20</f>
        <v>#VALUE!</v>
      </c>
      <c r="N19" s="36" t="e">
        <f>M19-K19+1</f>
        <v>#VALUE!</v>
      </c>
    </row>
    <row r="20" spans="1:15" ht="14.25" thickBot="1" thickTop="1">
      <c r="A20" s="29" t="s">
        <v>43</v>
      </c>
      <c r="B20" s="34" t="e">
        <f>G4+180</f>
        <v>#VALUE!</v>
      </c>
      <c r="C20" s="19"/>
      <c r="D20" s="39" t="s">
        <v>3</v>
      </c>
      <c r="E20" s="40" t="s">
        <v>1</v>
      </c>
      <c r="F20" s="40" t="s">
        <v>2</v>
      </c>
      <c r="G20" s="69"/>
      <c r="H20" s="29" t="s">
        <v>53</v>
      </c>
      <c r="I20" s="34" t="e">
        <f>G4+1080</f>
        <v>#VALUE!</v>
      </c>
      <c r="J20" s="23"/>
      <c r="K20" s="39" t="s">
        <v>3</v>
      </c>
      <c r="L20" s="57" t="s">
        <v>1</v>
      </c>
      <c r="M20" s="57" t="s">
        <v>2</v>
      </c>
      <c r="N20" s="22"/>
      <c r="O20" s="3"/>
    </row>
    <row r="21" spans="1:15" ht="13.5" thickTop="1">
      <c r="A21" s="29" t="s">
        <v>23</v>
      </c>
      <c r="B21" s="106" t="s">
        <v>40</v>
      </c>
      <c r="C21" s="62" t="s">
        <v>38</v>
      </c>
      <c r="D21" s="15" t="e">
        <f>IF(F21+5&lt;$U$2,"N/A",F21+5)</f>
        <v>#VALUE!</v>
      </c>
      <c r="E21" s="15" t="e">
        <f>F18+1</f>
        <v>#VALUE!</v>
      </c>
      <c r="F21" s="15" t="e">
        <f>H4+210</f>
        <v>#VALUE!</v>
      </c>
      <c r="G21" s="65">
        <f ca="1">IF(TODAY()&gt;40421,"",IF($G$2="","",IF(AND($G$2&gt;=E21-15,$G$2&lt;F21),"-END DATE","")))</f>
      </c>
      <c r="H21" s="29" t="s">
        <v>23</v>
      </c>
      <c r="I21" s="106" t="s">
        <v>40</v>
      </c>
      <c r="J21" s="62" t="s">
        <v>38</v>
      </c>
      <c r="K21" s="15" t="e">
        <f>IF(M21+5&lt;$U$2,"N/A",M21+5)</f>
        <v>#VALUE!</v>
      </c>
      <c r="L21" s="15" t="e">
        <f>M18+1</f>
        <v>#VALUE!</v>
      </c>
      <c r="M21" s="15" t="e">
        <f>H$4+1110</f>
        <v>#VALUE!</v>
      </c>
      <c r="N21" s="65">
        <f ca="1">IF(TODAY()&gt;40421,"",IF($G$2="","",IF(AND($G$2&gt;=L21-15,$G$2&lt;M21),"-END DATE","")))</f>
      </c>
      <c r="O21" s="3"/>
    </row>
    <row r="22" spans="1:15" ht="12.75">
      <c r="A22" s="1"/>
      <c r="B22" s="21"/>
      <c r="C22" s="62" t="s">
        <v>38</v>
      </c>
      <c r="D22" s="15" t="e">
        <f>IF(F22+5&lt;$U$2,"N/A",F22+5)</f>
        <v>#VALUE!</v>
      </c>
      <c r="E22" s="15" t="e">
        <f>F21+1</f>
        <v>#VALUE!</v>
      </c>
      <c r="F22" s="15" t="e">
        <f>H4+240</f>
        <v>#VALUE!</v>
      </c>
      <c r="G22" s="65">
        <f ca="1">IF(TODAY()&gt;40421,"",IF($G$2="","",IF(AND($G$2&gt;=E22-15,$G$2&lt;F22),"-END DATE","")))</f>
      </c>
      <c r="H22" s="1"/>
      <c r="I22" s="5"/>
      <c r="J22" s="62" t="s">
        <v>38</v>
      </c>
      <c r="K22" s="15" t="e">
        <f>IF(M22+5&lt;$U$2,"N/A",M22+5)</f>
        <v>#VALUE!</v>
      </c>
      <c r="L22" s="15" t="e">
        <f>M21+1</f>
        <v>#VALUE!</v>
      </c>
      <c r="M22" s="15" t="e">
        <f>H$4+1140</f>
        <v>#VALUE!</v>
      </c>
      <c r="N22" s="65">
        <f ca="1">IF(TODAY()&gt;40421,"",IF($G$2="","",IF(AND($G$2&gt;=L22-15,$G$2&lt;M22),"-END DATE","")))</f>
      </c>
      <c r="O22" s="3"/>
    </row>
    <row r="23" spans="1:15" ht="12.75">
      <c r="A23" s="1"/>
      <c r="B23" s="21"/>
      <c r="C23" s="62" t="s">
        <v>38</v>
      </c>
      <c r="D23" s="15" t="e">
        <f>IF(F23+5&lt;$U$2,"N/A",F23+5)</f>
        <v>#VALUE!</v>
      </c>
      <c r="E23" s="15" t="e">
        <f>F22+1</f>
        <v>#VALUE!</v>
      </c>
      <c r="F23" s="15" t="e">
        <f>H4+270</f>
        <v>#VALUE!</v>
      </c>
      <c r="G23" s="65">
        <f ca="1">IF(TODAY()&gt;40421,"",IF($G$2="","",IF(AND($G$2&gt;=E23-15,$G$2&lt;F23),"-END DATE","")))</f>
      </c>
      <c r="H23" s="1"/>
      <c r="I23" s="5"/>
      <c r="J23" s="62" t="s">
        <v>38</v>
      </c>
      <c r="K23" s="15" t="e">
        <f>IF(M23+5&lt;$U$2,"N/A",M23+5)</f>
        <v>#VALUE!</v>
      </c>
      <c r="L23" s="15" t="e">
        <f>M22+1</f>
        <v>#VALUE!</v>
      </c>
      <c r="M23" s="15" t="e">
        <f>H$4+1170</f>
        <v>#VALUE!</v>
      </c>
      <c r="N23" s="65">
        <f ca="1">IF(TODAY()&gt;40421,"",IF($G$2="","",IF(AND($G$2&gt;=L23-15,$G$2&lt;M23),"-END DATE","")))</f>
      </c>
      <c r="O23" s="3"/>
    </row>
    <row r="24" spans="1:14" s="38" customFormat="1" ht="6.75" customHeight="1" thickBot="1">
      <c r="A24" s="118" t="s">
        <v>16</v>
      </c>
      <c r="B24" s="118"/>
      <c r="C24" s="118"/>
      <c r="D24" s="35" t="e">
        <f>D23</f>
        <v>#VALUE!</v>
      </c>
      <c r="E24" s="41" t="s">
        <v>20</v>
      </c>
      <c r="F24" s="43" t="e">
        <f>B25</f>
        <v>#VALUE!</v>
      </c>
      <c r="G24" s="68" t="e">
        <f>F24-D24+1</f>
        <v>#VALUE!</v>
      </c>
      <c r="H24" s="118" t="s">
        <v>16</v>
      </c>
      <c r="I24" s="118"/>
      <c r="J24" s="118"/>
      <c r="K24" s="35" t="e">
        <f>K23</f>
        <v>#VALUE!</v>
      </c>
      <c r="L24" s="54" t="s">
        <v>20</v>
      </c>
      <c r="M24" s="55" t="e">
        <f>I25</f>
        <v>#VALUE!</v>
      </c>
      <c r="N24" s="36" t="e">
        <f>M24-K24+1</f>
        <v>#VALUE!</v>
      </c>
    </row>
    <row r="25" spans="1:15" ht="14.25" thickBot="1" thickTop="1">
      <c r="A25" s="29" t="s">
        <v>44</v>
      </c>
      <c r="B25" s="34" t="e">
        <f>G4+270</f>
        <v>#VALUE!</v>
      </c>
      <c r="C25" s="23"/>
      <c r="D25" s="39" t="s">
        <v>3</v>
      </c>
      <c r="E25" s="40" t="s">
        <v>1</v>
      </c>
      <c r="F25" s="40" t="s">
        <v>2</v>
      </c>
      <c r="G25" s="69"/>
      <c r="H25" s="29" t="s">
        <v>54</v>
      </c>
      <c r="I25" s="34" t="e">
        <f>G4+1170</f>
        <v>#VALUE!</v>
      </c>
      <c r="J25" s="23"/>
      <c r="K25" s="39" t="s">
        <v>3</v>
      </c>
      <c r="L25" s="57" t="s">
        <v>1</v>
      </c>
      <c r="M25" s="57" t="s">
        <v>2</v>
      </c>
      <c r="N25" s="22"/>
      <c r="O25" s="3"/>
    </row>
    <row r="26" spans="1:15" ht="13.5" thickTop="1">
      <c r="A26" s="29" t="s">
        <v>23</v>
      </c>
      <c r="B26" s="106" t="s">
        <v>40</v>
      </c>
      <c r="C26" s="62" t="s">
        <v>38</v>
      </c>
      <c r="D26" s="15" t="e">
        <f>IF(F26+5&lt;$U$2,"N/A",F26+5)</f>
        <v>#VALUE!</v>
      </c>
      <c r="E26" s="15" t="e">
        <f>F23+1</f>
        <v>#VALUE!</v>
      </c>
      <c r="F26" s="15" t="e">
        <f>H4+300</f>
        <v>#VALUE!</v>
      </c>
      <c r="G26" s="65">
        <f ca="1">IF(TODAY()&gt;40421,"",IF($G$2="","",IF(AND($G$2&gt;=E26-15,$G$2&lt;F26),"-END DATE","")))</f>
      </c>
      <c r="H26" s="29" t="s">
        <v>23</v>
      </c>
      <c r="I26" s="106" t="s">
        <v>40</v>
      </c>
      <c r="J26" s="62" t="s">
        <v>38</v>
      </c>
      <c r="K26" s="15" t="e">
        <f>IF(M26+5&lt;$U$2,"N/A",M26+5)</f>
        <v>#VALUE!</v>
      </c>
      <c r="L26" s="15" t="e">
        <f>M23+1</f>
        <v>#VALUE!</v>
      </c>
      <c r="M26" s="15" t="e">
        <f>H$4+1200</f>
        <v>#VALUE!</v>
      </c>
      <c r="N26" s="65">
        <f ca="1">IF(TODAY()&gt;40421,"",IF($G$2="","",IF(AND($G$2&gt;=L26-15,$G$2&lt;M26),"-END DATE","")))</f>
      </c>
      <c r="O26" s="3"/>
    </row>
    <row r="27" spans="1:15" ht="12.75">
      <c r="A27" s="1"/>
      <c r="C27" s="62" t="s">
        <v>38</v>
      </c>
      <c r="D27" s="15" t="e">
        <f>IF(F27+5&lt;$U$2,"N/A",F27+5)</f>
        <v>#VALUE!</v>
      </c>
      <c r="E27" s="15" t="e">
        <f>F26+1</f>
        <v>#VALUE!</v>
      </c>
      <c r="F27" s="15" t="e">
        <f>H4+330</f>
        <v>#VALUE!</v>
      </c>
      <c r="G27" s="65">
        <f ca="1">IF(TODAY()&gt;40421,"",IF($G$2="","",IF(AND($G$2&gt;=E27-15,$G$2&lt;F27),"-END DATE","")))</f>
      </c>
      <c r="H27" s="1"/>
      <c r="I27" s="5"/>
      <c r="J27" s="62" t="s">
        <v>38</v>
      </c>
      <c r="K27" s="15" t="e">
        <f>IF(M27+5&lt;$U$2,"N/A",M27+5)</f>
        <v>#VALUE!</v>
      </c>
      <c r="L27" s="15" t="e">
        <f>M26+1</f>
        <v>#VALUE!</v>
      </c>
      <c r="M27" s="15" t="e">
        <f>H$4+1230</f>
        <v>#VALUE!</v>
      </c>
      <c r="N27" s="65">
        <f ca="1">IF(TODAY()&gt;40421,"",IF($G$2="","",IF(AND($G$2&gt;=L27-15,$G$2&lt;M27),"-END DATE","")))</f>
      </c>
      <c r="O27" s="3"/>
    </row>
    <row r="28" spans="1:15" ht="12.75">
      <c r="A28" s="1"/>
      <c r="C28" s="62" t="s">
        <v>38</v>
      </c>
      <c r="D28" s="15" t="e">
        <f>IF(F28+5&lt;$U$2,"N/A",F28+5)</f>
        <v>#VALUE!</v>
      </c>
      <c r="E28" s="15" t="e">
        <f>F27+1</f>
        <v>#VALUE!</v>
      </c>
      <c r="F28" s="15" t="e">
        <f>H4+360</f>
        <v>#VALUE!</v>
      </c>
      <c r="G28" s="65">
        <f ca="1">IF(TODAY()&gt;40421,"",IF($G$2="","",IF(AND($G$2&gt;=E28-15,$G$2&lt;F28),"-END DATE","")))</f>
      </c>
      <c r="H28" s="1"/>
      <c r="I28" s="5"/>
      <c r="J28" s="62" t="s">
        <v>38</v>
      </c>
      <c r="K28" s="15" t="e">
        <f>IF(M28+5&lt;$U$2,"N/A",M28+5)</f>
        <v>#VALUE!</v>
      </c>
      <c r="L28" s="15" t="e">
        <f>M27+1</f>
        <v>#VALUE!</v>
      </c>
      <c r="M28" s="15" t="e">
        <f>H$4+1260</f>
        <v>#VALUE!</v>
      </c>
      <c r="N28" s="65">
        <f ca="1">IF(TODAY()&gt;40421,"",IF($G$2="","",IF(AND($G$2&gt;=L28-15,$G$2&lt;M28),"-END DATE","")))</f>
      </c>
      <c r="O28" s="3"/>
    </row>
    <row r="29" spans="1:14" s="38" customFormat="1" ht="6.75" customHeight="1" thickBot="1">
      <c r="A29" s="118" t="s">
        <v>16</v>
      </c>
      <c r="B29" s="118"/>
      <c r="C29" s="118"/>
      <c r="D29" s="35" t="e">
        <f>D28</f>
        <v>#VALUE!</v>
      </c>
      <c r="E29" s="53" t="s">
        <v>20</v>
      </c>
      <c r="F29" s="60" t="e">
        <f>B30</f>
        <v>#VALUE!</v>
      </c>
      <c r="G29" s="68" t="e">
        <f>F29-D29+1</f>
        <v>#VALUE!</v>
      </c>
      <c r="H29" s="118" t="s">
        <v>16</v>
      </c>
      <c r="I29" s="118"/>
      <c r="J29" s="118"/>
      <c r="K29" s="35" t="e">
        <f>K28</f>
        <v>#VALUE!</v>
      </c>
      <c r="L29" s="54" t="s">
        <v>20</v>
      </c>
      <c r="M29" s="55" t="e">
        <f>I30</f>
        <v>#VALUE!</v>
      </c>
      <c r="N29" s="36" t="e">
        <f>M29-K29+1</f>
        <v>#VALUE!</v>
      </c>
    </row>
    <row r="30" spans="1:15" ht="14.25" thickBot="1" thickTop="1">
      <c r="A30" s="29" t="s">
        <v>45</v>
      </c>
      <c r="B30" s="34" t="e">
        <f>G4+360</f>
        <v>#VALUE!</v>
      </c>
      <c r="C30" s="23"/>
      <c r="D30" s="39" t="s">
        <v>3</v>
      </c>
      <c r="E30" s="57" t="s">
        <v>1</v>
      </c>
      <c r="F30" s="57" t="s">
        <v>2</v>
      </c>
      <c r="G30" s="69"/>
      <c r="H30" s="29" t="s">
        <v>55</v>
      </c>
      <c r="I30" s="34" t="e">
        <f>G4+1260</f>
        <v>#VALUE!</v>
      </c>
      <c r="J30" s="23"/>
      <c r="K30" s="39" t="s">
        <v>3</v>
      </c>
      <c r="L30" s="57" t="s">
        <v>1</v>
      </c>
      <c r="M30" s="57" t="s">
        <v>2</v>
      </c>
      <c r="N30" s="22"/>
      <c r="O30" s="3"/>
    </row>
    <row r="31" spans="1:15" ht="13.5" thickTop="1">
      <c r="A31" s="29" t="s">
        <v>23</v>
      </c>
      <c r="B31" s="106" t="s">
        <v>40</v>
      </c>
      <c r="C31" s="62" t="s">
        <v>38</v>
      </c>
      <c r="D31" s="15" t="e">
        <f>IF(F31+5&lt;$U$2,"N/A",F31+5)</f>
        <v>#VALUE!</v>
      </c>
      <c r="E31" s="15" t="e">
        <f>F28+1</f>
        <v>#VALUE!</v>
      </c>
      <c r="F31" s="15" t="e">
        <f>H4+390</f>
        <v>#VALUE!</v>
      </c>
      <c r="G31" s="65">
        <f ca="1">IF(TODAY()&gt;40421,"",IF($G$2="","",IF(AND($G$2&gt;=E31-15,$G$2&lt;F31),"-END DATE","")))</f>
      </c>
      <c r="H31" s="29" t="s">
        <v>23</v>
      </c>
      <c r="I31" s="106" t="s">
        <v>40</v>
      </c>
      <c r="J31" s="62" t="s">
        <v>38</v>
      </c>
      <c r="K31" s="15" t="e">
        <f>IF(M31+5&lt;$U$2,"N/A",M31+5)</f>
        <v>#VALUE!</v>
      </c>
      <c r="L31" s="15" t="e">
        <f>M28+1</f>
        <v>#VALUE!</v>
      </c>
      <c r="M31" s="15" t="e">
        <f>H$4+1290</f>
        <v>#VALUE!</v>
      </c>
      <c r="N31" s="65">
        <f ca="1">IF(TODAY()&gt;40421,"",IF($G$2="","",IF(AND($G$2&gt;=L31-15,$G$2&lt;M31),"-END DATE","")))</f>
      </c>
      <c r="O31" s="3"/>
    </row>
    <row r="32" spans="1:15" ht="12.75">
      <c r="A32" s="1"/>
      <c r="C32" s="62" t="s">
        <v>38</v>
      </c>
      <c r="D32" s="15" t="e">
        <f>IF(F32+5&lt;$U$2,"N/A",F32+5)</f>
        <v>#VALUE!</v>
      </c>
      <c r="E32" s="15" t="e">
        <f>F31+1</f>
        <v>#VALUE!</v>
      </c>
      <c r="F32" s="15" t="e">
        <f>H4+420</f>
        <v>#VALUE!</v>
      </c>
      <c r="G32" s="65">
        <f ca="1">IF(TODAY()&gt;40421,"",IF($G$2="","",IF(AND($G$2&gt;=E32-15,$G$2&lt;F32),"-END DATE","")))</f>
      </c>
      <c r="H32" s="1"/>
      <c r="I32" s="5"/>
      <c r="J32" s="62" t="s">
        <v>38</v>
      </c>
      <c r="K32" s="15" t="e">
        <f>IF(M32+5&lt;$U$2,"N/A",M32+5)</f>
        <v>#VALUE!</v>
      </c>
      <c r="L32" s="15" t="e">
        <f>M31+1</f>
        <v>#VALUE!</v>
      </c>
      <c r="M32" s="15" t="e">
        <f>H$4+1320</f>
        <v>#VALUE!</v>
      </c>
      <c r="N32" s="65">
        <f ca="1">IF(TODAY()&gt;40421,"",IF($G$2="","",IF(AND($G$2&gt;=L32-15,$G$2&lt;M32),"-END DATE","")))</f>
      </c>
      <c r="O32" s="3"/>
    </row>
    <row r="33" spans="1:15" ht="12.75">
      <c r="A33" s="1"/>
      <c r="C33" s="62" t="s">
        <v>38</v>
      </c>
      <c r="D33" s="15" t="e">
        <f>IF(F33+5&lt;$U$2,"N/A",F33+5)</f>
        <v>#VALUE!</v>
      </c>
      <c r="E33" s="15" t="e">
        <f>F32+1</f>
        <v>#VALUE!</v>
      </c>
      <c r="F33" s="15" t="e">
        <f>H$4+450</f>
        <v>#VALUE!</v>
      </c>
      <c r="G33" s="65">
        <f ca="1">IF(TODAY()&gt;40421,"",IF($G$2="","",IF(AND($G$2&gt;=E33-15,$G$2&lt;F33),"-END DATE","")))</f>
      </c>
      <c r="H33" s="1"/>
      <c r="I33" s="5"/>
      <c r="J33" s="62" t="s">
        <v>38</v>
      </c>
      <c r="K33" s="15" t="e">
        <f>IF(M33+5&lt;$U$2,"N/A",M33+5)</f>
        <v>#VALUE!</v>
      </c>
      <c r="L33" s="15" t="e">
        <f>M32+1</f>
        <v>#VALUE!</v>
      </c>
      <c r="M33" s="15" t="e">
        <f>H$4+1350</f>
        <v>#VALUE!</v>
      </c>
      <c r="N33" s="65">
        <f ca="1">IF(TODAY()&gt;40421,"",IF($G$2="","",IF(AND($G$2&gt;=L33-15,$G$2&lt;M33),"-END DATE","")))</f>
      </c>
      <c r="O33" s="3"/>
    </row>
    <row r="34" spans="1:14" s="38" customFormat="1" ht="6.75" customHeight="1" thickBot="1">
      <c r="A34" s="118" t="s">
        <v>16</v>
      </c>
      <c r="B34" s="118"/>
      <c r="C34" s="118"/>
      <c r="D34" s="35" t="e">
        <f>D33</f>
        <v>#VALUE!</v>
      </c>
      <c r="E34" s="54" t="s">
        <v>20</v>
      </c>
      <c r="F34" s="61" t="e">
        <f>B35</f>
        <v>#VALUE!</v>
      </c>
      <c r="G34" s="68" t="e">
        <f>F34-D34+1</f>
        <v>#VALUE!</v>
      </c>
      <c r="H34" s="118" t="s">
        <v>16</v>
      </c>
      <c r="I34" s="118"/>
      <c r="J34" s="118"/>
      <c r="K34" s="35" t="e">
        <f>K33</f>
        <v>#VALUE!</v>
      </c>
      <c r="L34" s="54" t="s">
        <v>20</v>
      </c>
      <c r="M34" s="55" t="e">
        <f>I35</f>
        <v>#VALUE!</v>
      </c>
      <c r="N34" s="36" t="e">
        <f>M34-K34+1</f>
        <v>#VALUE!</v>
      </c>
    </row>
    <row r="35" spans="1:15" ht="14.25" thickBot="1" thickTop="1">
      <c r="A35" s="29" t="s">
        <v>46</v>
      </c>
      <c r="B35" s="34" t="e">
        <f>G4+450</f>
        <v>#VALUE!</v>
      </c>
      <c r="C35" s="23"/>
      <c r="D35" s="39" t="s">
        <v>3</v>
      </c>
      <c r="E35" s="57" t="s">
        <v>1</v>
      </c>
      <c r="F35" s="57" t="s">
        <v>2</v>
      </c>
      <c r="G35" s="69"/>
      <c r="H35" s="29" t="s">
        <v>56</v>
      </c>
      <c r="I35" s="34" t="e">
        <f>G4+1350</f>
        <v>#VALUE!</v>
      </c>
      <c r="J35" s="23"/>
      <c r="K35" s="39" t="s">
        <v>3</v>
      </c>
      <c r="L35" s="57" t="s">
        <v>1</v>
      </c>
      <c r="M35" s="57" t="s">
        <v>2</v>
      </c>
      <c r="N35" s="22"/>
      <c r="O35" s="3"/>
    </row>
    <row r="36" spans="1:15" ht="13.5" thickTop="1">
      <c r="A36" s="29" t="s">
        <v>23</v>
      </c>
      <c r="B36" s="106" t="s">
        <v>40</v>
      </c>
      <c r="C36" s="62" t="s">
        <v>38</v>
      </c>
      <c r="D36" s="15" t="e">
        <f>IF(F36+5&lt;$U$2,"N/A",F36+5)</f>
        <v>#VALUE!</v>
      </c>
      <c r="E36" s="15" t="e">
        <f>F33+1</f>
        <v>#VALUE!</v>
      </c>
      <c r="F36" s="15" t="e">
        <f>H4+480</f>
        <v>#VALUE!</v>
      </c>
      <c r="G36" s="65">
        <f ca="1">IF(TODAY()&gt;40421,"",IF($G$2="","",IF(AND($G$2&gt;=E36-15,$G$2&lt;F36),"-END DATE","")))</f>
      </c>
      <c r="H36" s="29" t="s">
        <v>23</v>
      </c>
      <c r="I36" s="106" t="s">
        <v>40</v>
      </c>
      <c r="J36" s="62" t="s">
        <v>38</v>
      </c>
      <c r="K36" s="15" t="e">
        <f>IF(M36+5&lt;$U$2,"N/A",M36+5)</f>
        <v>#VALUE!</v>
      </c>
      <c r="L36" s="15" t="e">
        <f>M33+1</f>
        <v>#VALUE!</v>
      </c>
      <c r="M36" s="15" t="e">
        <f>H$4+1380</f>
        <v>#VALUE!</v>
      </c>
      <c r="N36" s="65">
        <f ca="1">IF(TODAY()&gt;40421,"",IF($G$2="","",IF(AND($G$2&gt;=L36-15,$G$2&lt;M36),"-END DATE","")))</f>
      </c>
      <c r="O36" s="3"/>
    </row>
    <row r="37" spans="1:15" ht="12.75">
      <c r="A37" s="1"/>
      <c r="C37" s="62" t="s">
        <v>38</v>
      </c>
      <c r="D37" s="15" t="e">
        <f>IF(F37+5&lt;$U$2,"N/A",F37+5)</f>
        <v>#VALUE!</v>
      </c>
      <c r="E37" s="15" t="e">
        <f>F36+1</f>
        <v>#VALUE!</v>
      </c>
      <c r="F37" s="15" t="e">
        <f>H4+510</f>
        <v>#VALUE!</v>
      </c>
      <c r="G37" s="65">
        <f ca="1">IF(TODAY()&gt;40421,"",IF($G$2="","",IF(AND($G$2&gt;=E37-15,$G$2&lt;F37),"-END DATE","")))</f>
      </c>
      <c r="H37" s="1"/>
      <c r="I37" s="5"/>
      <c r="J37" s="62" t="s">
        <v>38</v>
      </c>
      <c r="K37" s="15" t="e">
        <f>IF(M37+5&lt;$U$2,"N/A",M37+5)</f>
        <v>#VALUE!</v>
      </c>
      <c r="L37" s="15" t="e">
        <f>M36+1</f>
        <v>#VALUE!</v>
      </c>
      <c r="M37" s="15" t="e">
        <f>H$4+1410</f>
        <v>#VALUE!</v>
      </c>
      <c r="N37" s="65">
        <f ca="1">IF(TODAY()&gt;40421,"",IF($G$2="","",IF(AND($G$2&gt;=L37-15,$G$2&lt;M37),"-END DATE","")))</f>
      </c>
      <c r="O37" s="3"/>
    </row>
    <row r="38" spans="1:15" ht="12.75">
      <c r="A38" s="1"/>
      <c r="C38" s="62" t="s">
        <v>38</v>
      </c>
      <c r="D38" s="15" t="e">
        <f>IF(F38+5&lt;$U$2,"N/A",F38+5)</f>
        <v>#VALUE!</v>
      </c>
      <c r="E38" s="15" t="e">
        <f>F37+1</f>
        <v>#VALUE!</v>
      </c>
      <c r="F38" s="15" t="e">
        <f>H$4+540</f>
        <v>#VALUE!</v>
      </c>
      <c r="G38" s="65">
        <f ca="1">IF(TODAY()&gt;40421,"",IF($G$2="","",IF(AND($G$2&gt;=E38-15,$G$2&lt;F38),"-END DATE","")))</f>
      </c>
      <c r="H38" s="1"/>
      <c r="I38" s="5"/>
      <c r="J38" s="62" t="s">
        <v>38</v>
      </c>
      <c r="K38" s="15" t="e">
        <f>IF(M38+5&lt;$U$2,"N/A",M38+5)</f>
        <v>#VALUE!</v>
      </c>
      <c r="L38" s="15" t="e">
        <f>M37+1</f>
        <v>#VALUE!</v>
      </c>
      <c r="M38" s="15" t="e">
        <f>H$4+1440</f>
        <v>#VALUE!</v>
      </c>
      <c r="N38" s="65">
        <f ca="1">IF(TODAY()&gt;40421,"",IF($G$2="","",IF(AND($G$2&gt;=L38-15,$G$2&lt;M38),"-END DATE","")))</f>
      </c>
      <c r="O38" s="3"/>
    </row>
    <row r="39" spans="1:14" s="38" customFormat="1" ht="6.75" customHeight="1" thickBot="1">
      <c r="A39" s="118" t="s">
        <v>16</v>
      </c>
      <c r="B39" s="118"/>
      <c r="C39" s="118"/>
      <c r="D39" s="35" t="e">
        <f>D38</f>
        <v>#VALUE!</v>
      </c>
      <c r="E39" s="54" t="s">
        <v>20</v>
      </c>
      <c r="F39" s="61" t="e">
        <f>B40</f>
        <v>#VALUE!</v>
      </c>
      <c r="G39" s="68" t="e">
        <f>F39-D39+1</f>
        <v>#VALUE!</v>
      </c>
      <c r="H39" s="118" t="s">
        <v>16</v>
      </c>
      <c r="I39" s="118"/>
      <c r="J39" s="118"/>
      <c r="K39" s="35" t="e">
        <f>K38</f>
        <v>#VALUE!</v>
      </c>
      <c r="L39" s="54" t="s">
        <v>20</v>
      </c>
      <c r="M39" s="55" t="e">
        <f>I40</f>
        <v>#VALUE!</v>
      </c>
      <c r="N39" s="36" t="e">
        <f>M39-K39+1</f>
        <v>#VALUE!</v>
      </c>
    </row>
    <row r="40" spans="1:15" ht="14.25" thickBot="1" thickTop="1">
      <c r="A40" s="29" t="s">
        <v>47</v>
      </c>
      <c r="B40" s="34" t="e">
        <f>G4+540</f>
        <v>#VALUE!</v>
      </c>
      <c r="C40" s="23"/>
      <c r="D40" s="39" t="s">
        <v>3</v>
      </c>
      <c r="E40" s="57" t="s">
        <v>1</v>
      </c>
      <c r="F40" s="57" t="s">
        <v>2</v>
      </c>
      <c r="G40" s="69"/>
      <c r="H40" s="29" t="s">
        <v>57</v>
      </c>
      <c r="I40" s="34" t="e">
        <f>G4+1440</f>
        <v>#VALUE!</v>
      </c>
      <c r="J40" s="23"/>
      <c r="K40" s="39" t="s">
        <v>3</v>
      </c>
      <c r="L40" s="57" t="s">
        <v>1</v>
      </c>
      <c r="M40" s="57" t="s">
        <v>2</v>
      </c>
      <c r="N40" s="22"/>
      <c r="O40" s="3"/>
    </row>
    <row r="41" spans="1:15" ht="13.5" thickTop="1">
      <c r="A41" s="29" t="s">
        <v>23</v>
      </c>
      <c r="B41" s="106" t="s">
        <v>40</v>
      </c>
      <c r="C41" s="62" t="s">
        <v>38</v>
      </c>
      <c r="D41" s="15" t="e">
        <f>IF(F41+5&lt;$U$2,"N/A",F41+5)</f>
        <v>#VALUE!</v>
      </c>
      <c r="E41" s="15" t="e">
        <f>F38+1</f>
        <v>#VALUE!</v>
      </c>
      <c r="F41" s="15" t="e">
        <f>H4+570</f>
        <v>#VALUE!</v>
      </c>
      <c r="G41" s="65">
        <f ca="1">IF(TODAY()&gt;40421,"",IF($G$2="","",IF(AND($G$2&gt;=E41-15,$G$2&lt;F41),"-END DATE","")))</f>
      </c>
      <c r="H41" s="29" t="s">
        <v>23</v>
      </c>
      <c r="I41" s="106" t="s">
        <v>40</v>
      </c>
      <c r="J41" s="62" t="s">
        <v>38</v>
      </c>
      <c r="K41" s="15" t="e">
        <f>IF(M41+5&lt;$U$2,"N/A",M41+5)</f>
        <v>#VALUE!</v>
      </c>
      <c r="L41" s="15" t="e">
        <f>M38+1</f>
        <v>#VALUE!</v>
      </c>
      <c r="M41" s="15" t="e">
        <f>H$4+1470</f>
        <v>#VALUE!</v>
      </c>
      <c r="N41" s="65">
        <f ca="1">IF(TODAY()&gt;40421,"",IF($G$2="","",IF(AND($G$2&gt;=L41-15,$G$2&lt;M41),"-END DATE","")))</f>
      </c>
      <c r="O41" s="3"/>
    </row>
    <row r="42" spans="1:15" ht="12.75">
      <c r="A42" s="1"/>
      <c r="C42" s="62" t="s">
        <v>38</v>
      </c>
      <c r="D42" s="15" t="e">
        <f>IF(F42+5&lt;$U$2,"N/A",F42+5)</f>
        <v>#VALUE!</v>
      </c>
      <c r="E42" s="15" t="e">
        <f>F41+1</f>
        <v>#VALUE!</v>
      </c>
      <c r="F42" s="15" t="e">
        <f>H4+600</f>
        <v>#VALUE!</v>
      </c>
      <c r="G42" s="65">
        <f ca="1">IF(TODAY()&gt;40421,"",IF($G$2="","",IF(AND($G$2&gt;=E42-15,$G$2&lt;F42),"-END DATE","")))</f>
      </c>
      <c r="H42" s="8"/>
      <c r="I42" s="5"/>
      <c r="J42" s="62" t="s">
        <v>38</v>
      </c>
      <c r="K42" s="15" t="e">
        <f>IF(M42+5&lt;$U$2,"N/A",M42+5)</f>
        <v>#VALUE!</v>
      </c>
      <c r="L42" s="15" t="e">
        <f>M41+1</f>
        <v>#VALUE!</v>
      </c>
      <c r="M42" s="15" t="e">
        <f>H$4+1500</f>
        <v>#VALUE!</v>
      </c>
      <c r="N42" s="65">
        <f ca="1">IF(TODAY()&gt;40421,"",IF($G$2="","",IF(AND($G$2&gt;=L42-15,$G$2&lt;M42),"-END DATE","")))</f>
      </c>
      <c r="O42" s="3"/>
    </row>
    <row r="43" spans="1:15" ht="12.75">
      <c r="A43" s="1"/>
      <c r="C43" s="62" t="s">
        <v>38</v>
      </c>
      <c r="D43" s="15" t="e">
        <f>IF(F43+5&lt;$U$2,"N/A",F43+5)</f>
        <v>#VALUE!</v>
      </c>
      <c r="E43" s="15" t="e">
        <f>F42+1</f>
        <v>#VALUE!</v>
      </c>
      <c r="F43" s="15" t="e">
        <f>H$4+630</f>
        <v>#VALUE!</v>
      </c>
      <c r="G43" s="65">
        <f ca="1">IF(TODAY()&gt;40421,"",IF($G$2="","",IF(AND($G$2&gt;=E43-15,$G$2&lt;F43),"-END DATE","")))</f>
      </c>
      <c r="H43" s="8"/>
      <c r="I43" s="5"/>
      <c r="J43" s="62" t="s">
        <v>38</v>
      </c>
      <c r="K43" s="15" t="e">
        <f>IF(M43+5&lt;$U$2,"N/A",M43+5)</f>
        <v>#VALUE!</v>
      </c>
      <c r="L43" s="15" t="e">
        <f>M42+1</f>
        <v>#VALUE!</v>
      </c>
      <c r="M43" s="15" t="e">
        <f>H$4+1530</f>
        <v>#VALUE!</v>
      </c>
      <c r="N43" s="65">
        <f ca="1">IF(TODAY()&gt;40421,"",IF($G$2="","",IF(AND($G$2&gt;=L43-15,$G$2&lt;M43),"-END DATE","")))</f>
      </c>
      <c r="O43" s="3"/>
    </row>
    <row r="44" spans="1:14" s="38" customFormat="1" ht="6.75" customHeight="1" thickBot="1">
      <c r="A44" s="118" t="s">
        <v>16</v>
      </c>
      <c r="B44" s="118"/>
      <c r="C44" s="118"/>
      <c r="D44" s="35" t="e">
        <f>D43</f>
        <v>#VALUE!</v>
      </c>
      <c r="E44" s="54" t="s">
        <v>20</v>
      </c>
      <c r="F44" s="55" t="e">
        <f>B45</f>
        <v>#VALUE!</v>
      </c>
      <c r="G44" s="68" t="e">
        <f>F44-D44+1</f>
        <v>#VALUE!</v>
      </c>
      <c r="H44" s="118" t="s">
        <v>16</v>
      </c>
      <c r="I44" s="118"/>
      <c r="J44" s="118"/>
      <c r="K44" s="35" t="e">
        <f>K43</f>
        <v>#VALUE!</v>
      </c>
      <c r="L44" s="54" t="s">
        <v>20</v>
      </c>
      <c r="M44" s="55" t="e">
        <f>I45</f>
        <v>#VALUE!</v>
      </c>
      <c r="N44" s="36" t="e">
        <f>M44-K44+1</f>
        <v>#VALUE!</v>
      </c>
    </row>
    <row r="45" spans="1:15" ht="14.25" thickBot="1" thickTop="1">
      <c r="A45" s="29" t="s">
        <v>48</v>
      </c>
      <c r="B45" s="34" t="e">
        <f>G4+630</f>
        <v>#VALUE!</v>
      </c>
      <c r="C45" s="23"/>
      <c r="D45" s="39" t="s">
        <v>3</v>
      </c>
      <c r="E45" s="57" t="s">
        <v>1</v>
      </c>
      <c r="F45" s="57" t="s">
        <v>2</v>
      </c>
      <c r="G45" s="69"/>
      <c r="H45" s="29" t="s">
        <v>58</v>
      </c>
      <c r="I45" s="34" t="e">
        <f>G4+1530</f>
        <v>#VALUE!</v>
      </c>
      <c r="J45" s="23"/>
      <c r="K45" s="39" t="s">
        <v>3</v>
      </c>
      <c r="L45" s="57" t="s">
        <v>1</v>
      </c>
      <c r="M45" s="57" t="s">
        <v>2</v>
      </c>
      <c r="N45" s="22"/>
      <c r="O45" s="3"/>
    </row>
    <row r="46" spans="1:15" ht="13.5" thickTop="1">
      <c r="A46" s="29" t="s">
        <v>23</v>
      </c>
      <c r="B46" s="106" t="s">
        <v>40</v>
      </c>
      <c r="C46" s="62" t="s">
        <v>38</v>
      </c>
      <c r="D46" s="15" t="e">
        <f>IF(F46+5&lt;$U$2,"N/A",F46+5)</f>
        <v>#VALUE!</v>
      </c>
      <c r="E46" s="15" t="e">
        <f>F43+1</f>
        <v>#VALUE!</v>
      </c>
      <c r="F46" s="15" t="e">
        <f>H$4+660</f>
        <v>#VALUE!</v>
      </c>
      <c r="G46" s="65">
        <f ca="1">IF(TODAY()&gt;40421,"",IF($G$2="","",IF(AND($G$2&gt;=E46-15,$G$2&lt;F46),"-END DATE","")))</f>
      </c>
      <c r="H46" s="29" t="s">
        <v>23</v>
      </c>
      <c r="I46" s="106" t="s">
        <v>40</v>
      </c>
      <c r="J46" s="62" t="s">
        <v>38</v>
      </c>
      <c r="K46" s="15" t="e">
        <f>IF(M46+5&lt;$U$2,"N/A",M46+5)</f>
        <v>#VALUE!</v>
      </c>
      <c r="L46" s="15" t="e">
        <f>M43+1</f>
        <v>#VALUE!</v>
      </c>
      <c r="M46" s="15" t="e">
        <f>H$4+1560</f>
        <v>#VALUE!</v>
      </c>
      <c r="N46" s="65">
        <f ca="1">IF(TODAY()&gt;40421,"",IF($G$2="","",IF(AND($G$2&gt;=L46-15,$G$2&lt;M46),"-END DATE","")))</f>
      </c>
      <c r="O46" s="3"/>
    </row>
    <row r="47" spans="1:15" ht="12.75">
      <c r="A47" s="1"/>
      <c r="C47" s="62" t="s">
        <v>38</v>
      </c>
      <c r="D47" s="15" t="e">
        <f>IF(F47+5&lt;$U$2,"N/A",F47+5)</f>
        <v>#VALUE!</v>
      </c>
      <c r="E47" s="15" t="e">
        <f>F46+1</f>
        <v>#VALUE!</v>
      </c>
      <c r="F47" s="15" t="e">
        <f>H$4+690</f>
        <v>#VALUE!</v>
      </c>
      <c r="G47" s="65">
        <f ca="1">IF(TODAY()&gt;40421,"",IF($G$2="","",IF(AND($G$2&gt;=E47-15,$G$2&lt;F47),"-END DATE","")))</f>
      </c>
      <c r="H47" s="8"/>
      <c r="I47" s="5"/>
      <c r="J47" s="62" t="s">
        <v>38</v>
      </c>
      <c r="K47" s="15" t="e">
        <f>IF(M47+5&lt;$U$2,"N/A",M47+5)</f>
        <v>#VALUE!</v>
      </c>
      <c r="L47" s="15" t="e">
        <f>M46+1</f>
        <v>#VALUE!</v>
      </c>
      <c r="M47" s="15" t="e">
        <f>H$4+1590</f>
        <v>#VALUE!</v>
      </c>
      <c r="N47" s="65">
        <f ca="1">IF(TODAY()&gt;40421,"",IF($G$2="","",IF(AND($G$2&gt;=L47-15,$G$2&lt;M47),"-END DATE","")))</f>
      </c>
      <c r="O47" s="3"/>
    </row>
    <row r="48" spans="1:15" ht="12.75">
      <c r="A48" s="1"/>
      <c r="C48" s="62" t="s">
        <v>38</v>
      </c>
      <c r="D48" s="15" t="e">
        <f>IF(F48+5&lt;$U$2,"N/A",F48+5)</f>
        <v>#VALUE!</v>
      </c>
      <c r="E48" s="15" t="e">
        <f>F47+1</f>
        <v>#VALUE!</v>
      </c>
      <c r="F48" s="15" t="e">
        <f>H$4+720</f>
        <v>#VALUE!</v>
      </c>
      <c r="G48" s="65">
        <f ca="1">IF(TODAY()&gt;40421,"",IF($G$2="","",IF(AND($G$2&gt;=E48-15,$G$2&lt;F48),"-END DATE","")))</f>
      </c>
      <c r="H48" s="8"/>
      <c r="I48" s="5"/>
      <c r="J48" s="62" t="s">
        <v>38</v>
      </c>
      <c r="K48" s="15" t="e">
        <f>IF(M48+5&lt;$U$2,"N/A",M48+5)</f>
        <v>#VALUE!</v>
      </c>
      <c r="L48" s="15" t="e">
        <f>M47+1</f>
        <v>#VALUE!</v>
      </c>
      <c r="M48" s="15" t="e">
        <f>H$4+1620</f>
        <v>#VALUE!</v>
      </c>
      <c r="N48" s="65">
        <f ca="1">IF(TODAY()&gt;40421,"",IF($G$2="","",IF(AND($G$2&gt;=L48-15,$G$2&lt;M48),"-END DATE","")))</f>
      </c>
      <c r="O48" s="3"/>
    </row>
    <row r="49" spans="1:14" s="38" customFormat="1" ht="6.75" customHeight="1" thickBot="1">
      <c r="A49" s="118" t="s">
        <v>16</v>
      </c>
      <c r="B49" s="118"/>
      <c r="C49" s="118"/>
      <c r="D49" s="35" t="e">
        <f>D48</f>
        <v>#VALUE!</v>
      </c>
      <c r="E49" s="54" t="s">
        <v>20</v>
      </c>
      <c r="F49" s="55" t="e">
        <f>B50</f>
        <v>#VALUE!</v>
      </c>
      <c r="G49" s="68" t="e">
        <f>F49-D49+1</f>
        <v>#VALUE!</v>
      </c>
      <c r="H49" s="118" t="s">
        <v>16</v>
      </c>
      <c r="I49" s="118"/>
      <c r="J49" s="118"/>
      <c r="K49" s="35" t="e">
        <f>K48</f>
        <v>#VALUE!</v>
      </c>
      <c r="L49" s="41" t="s">
        <v>20</v>
      </c>
      <c r="M49" s="42" t="e">
        <f>I50</f>
        <v>#VALUE!</v>
      </c>
      <c r="N49" s="36" t="e">
        <f>M49-K49+1</f>
        <v>#VALUE!</v>
      </c>
    </row>
    <row r="50" spans="1:15" ht="14.25" thickBot="1" thickTop="1">
      <c r="A50" s="29" t="s">
        <v>49</v>
      </c>
      <c r="B50" s="34" t="e">
        <f>G4+720</f>
        <v>#VALUE!</v>
      </c>
      <c r="C50" s="23"/>
      <c r="D50" s="39" t="s">
        <v>3</v>
      </c>
      <c r="E50" s="57" t="s">
        <v>1</v>
      </c>
      <c r="F50" s="57" t="s">
        <v>2</v>
      </c>
      <c r="G50" s="69"/>
      <c r="H50" s="29" t="s">
        <v>59</v>
      </c>
      <c r="I50" s="34" t="e">
        <f>G4+1620</f>
        <v>#VALUE!</v>
      </c>
      <c r="J50" s="23"/>
      <c r="K50" s="39" t="s">
        <v>3</v>
      </c>
      <c r="L50" s="40" t="s">
        <v>1</v>
      </c>
      <c r="M50" s="40" t="s">
        <v>2</v>
      </c>
      <c r="N50" s="22"/>
      <c r="O50" s="3"/>
    </row>
    <row r="51" spans="1:15" ht="13.5" thickTop="1">
      <c r="A51" s="29" t="s">
        <v>23</v>
      </c>
      <c r="B51" s="106" t="s">
        <v>40</v>
      </c>
      <c r="C51" s="62" t="s">
        <v>38</v>
      </c>
      <c r="D51" s="15" t="e">
        <f>IF(F51+5&lt;$U$2,"N/A",F51+5)</f>
        <v>#VALUE!</v>
      </c>
      <c r="E51" s="15" t="e">
        <f>F48+1</f>
        <v>#VALUE!</v>
      </c>
      <c r="F51" s="15" t="e">
        <f>H$4+750</f>
        <v>#VALUE!</v>
      </c>
      <c r="G51" s="65">
        <f ca="1">IF(TODAY()&gt;40421,"",IF($G$2="","",IF(AND($G$2&gt;=E51-15,$G$2&lt;F51),"-END DATE","")))</f>
      </c>
      <c r="H51" s="29" t="s">
        <v>23</v>
      </c>
      <c r="I51" s="106" t="s">
        <v>40</v>
      </c>
      <c r="J51" s="62" t="s">
        <v>38</v>
      </c>
      <c r="K51" s="15" t="e">
        <f>IF(M51+5&lt;$U$2,"N/A",M51+5)</f>
        <v>#VALUE!</v>
      </c>
      <c r="L51" s="15" t="e">
        <f>M48+1</f>
        <v>#VALUE!</v>
      </c>
      <c r="M51" s="15" t="e">
        <f>H$4+1650</f>
        <v>#VALUE!</v>
      </c>
      <c r="N51" s="65">
        <f ca="1">IF(TODAY()&gt;40421,"",IF($G$2="","",IF(AND($G$2&gt;=L51-15,$G$2&lt;M51),"-END DATE","")))</f>
      </c>
      <c r="O51" s="3"/>
    </row>
    <row r="52" spans="3:15" ht="12.75">
      <c r="C52" s="62" t="s">
        <v>38</v>
      </c>
      <c r="D52" s="15" t="e">
        <f>IF(F52+5&lt;$U$2,"N/A",F52+5)</f>
        <v>#VALUE!</v>
      </c>
      <c r="E52" s="15" t="e">
        <f>F51+1</f>
        <v>#VALUE!</v>
      </c>
      <c r="F52" s="15" t="e">
        <f>H$4+780</f>
        <v>#VALUE!</v>
      </c>
      <c r="G52" s="65">
        <f ca="1">IF(TODAY()&gt;40421,"",IF($G$2="","",IF(AND($G$2&gt;=E52-15,$G$2&lt;F52),"-END DATE","")))</f>
      </c>
      <c r="H52" s="8"/>
      <c r="I52" s="5"/>
      <c r="J52" s="62" t="s">
        <v>38</v>
      </c>
      <c r="K52" s="15" t="e">
        <f>IF(M52+5&lt;$U$2,"N/A",M52+5)</f>
        <v>#VALUE!</v>
      </c>
      <c r="L52" s="15" t="e">
        <f>M51+1</f>
        <v>#VALUE!</v>
      </c>
      <c r="M52" s="15" t="e">
        <f>H$4+1680</f>
        <v>#VALUE!</v>
      </c>
      <c r="N52" s="65">
        <f ca="1">IF(TODAY()&gt;40421,"",IF($G$2="","",IF(AND($G$2&gt;=L52-15,$G$2&lt;M52),"-END DATE","")))</f>
      </c>
      <c r="O52" s="3"/>
    </row>
    <row r="53" spans="3:15" ht="12.75">
      <c r="C53" s="62" t="s">
        <v>38</v>
      </c>
      <c r="D53" s="15" t="e">
        <f>IF(F53+5&lt;$U$2,"N/A",F53+5)</f>
        <v>#VALUE!</v>
      </c>
      <c r="E53" s="15" t="e">
        <f>F52+1</f>
        <v>#VALUE!</v>
      </c>
      <c r="F53" s="15" t="e">
        <f>H$4+810</f>
        <v>#VALUE!</v>
      </c>
      <c r="G53" s="65">
        <f ca="1">IF(TODAY()&gt;40421,"",IF($G$2="","",IF(AND($G$2&gt;=E53-15,$G$2&lt;F53),"-END DATE","")))</f>
      </c>
      <c r="H53" s="8"/>
      <c r="I53" s="5"/>
      <c r="J53" s="62" t="s">
        <v>38</v>
      </c>
      <c r="K53" s="15" t="e">
        <f>IF(M53+5&lt;$U$2,"N/A",M53+5)</f>
        <v>#VALUE!</v>
      </c>
      <c r="L53" s="15" t="e">
        <f>M52+1</f>
        <v>#VALUE!</v>
      </c>
      <c r="M53" s="15" t="e">
        <f>H$4+1710</f>
        <v>#VALUE!</v>
      </c>
      <c r="N53" s="65">
        <f ca="1">IF(TODAY()&gt;40421,"",IF($G$2="","",IF(AND($G$2&gt;=L53-15,$G$2&lt;M53),"-END DATE","")))</f>
      </c>
      <c r="O53" s="3"/>
    </row>
    <row r="54" spans="1:15" s="38" customFormat="1" ht="6.75" customHeight="1" thickBot="1">
      <c r="A54" s="118" t="s">
        <v>16</v>
      </c>
      <c r="B54" s="118"/>
      <c r="C54" s="118"/>
      <c r="D54" s="35" t="e">
        <f>D53</f>
        <v>#VALUE!</v>
      </c>
      <c r="E54" s="54" t="s">
        <v>20</v>
      </c>
      <c r="F54" s="55" t="e">
        <f>B55</f>
        <v>#VALUE!</v>
      </c>
      <c r="G54" s="68" t="e">
        <f>F54-D54+1</f>
        <v>#VALUE!</v>
      </c>
      <c r="H54" s="118" t="s">
        <v>16</v>
      </c>
      <c r="I54" s="118"/>
      <c r="J54" s="118"/>
      <c r="K54" s="35" t="e">
        <f>K53</f>
        <v>#VALUE!</v>
      </c>
      <c r="L54" s="54" t="s">
        <v>20</v>
      </c>
      <c r="M54" s="55" t="e">
        <f>I55</f>
        <v>#VALUE!</v>
      </c>
      <c r="N54" s="36" t="e">
        <f>M54-K54+1</f>
        <v>#VALUE!</v>
      </c>
      <c r="O54" s="37"/>
    </row>
    <row r="55" spans="1:14" ht="14.25" thickBot="1" thickTop="1">
      <c r="A55" s="29" t="s">
        <v>50</v>
      </c>
      <c r="B55" s="34" t="e">
        <f>G$4+810</f>
        <v>#VALUE!</v>
      </c>
      <c r="C55" s="23"/>
      <c r="D55" s="39" t="s">
        <v>3</v>
      </c>
      <c r="E55" s="57" t="s">
        <v>1</v>
      </c>
      <c r="F55" s="57" t="s">
        <v>2</v>
      </c>
      <c r="G55" s="70"/>
      <c r="H55" s="29" t="s">
        <v>60</v>
      </c>
      <c r="I55" s="34" t="e">
        <f>G4+1710</f>
        <v>#VALUE!</v>
      </c>
      <c r="J55" s="19"/>
      <c r="K55" s="56" t="s">
        <v>3</v>
      </c>
      <c r="L55" s="57" t="s">
        <v>1</v>
      </c>
      <c r="M55" s="57" t="s">
        <v>2</v>
      </c>
      <c r="N55" s="17"/>
    </row>
    <row r="56" spans="1:14" ht="13.5" thickTop="1">
      <c r="A56" s="29" t="s">
        <v>23</v>
      </c>
      <c r="B56" s="106" t="s">
        <v>40</v>
      </c>
      <c r="C56" s="62" t="s">
        <v>38</v>
      </c>
      <c r="D56" s="15" t="e">
        <f>IF(F56+5&lt;$U$2,"N/A",F56+5)</f>
        <v>#VALUE!</v>
      </c>
      <c r="E56" s="15" t="e">
        <f>F53+1</f>
        <v>#VALUE!</v>
      </c>
      <c r="F56" s="15" t="e">
        <f>H$4+840</f>
        <v>#VALUE!</v>
      </c>
      <c r="G56" s="65">
        <f ca="1">IF(TODAY()&gt;40421,"",IF($G$2="","",IF(AND($G$2&gt;=E56-15,$G$2&lt;F56),"-END DATE","")))</f>
      </c>
      <c r="H56" s="29" t="s">
        <v>23</v>
      </c>
      <c r="I56" s="106" t="s">
        <v>40</v>
      </c>
      <c r="J56" s="62" t="s">
        <v>38</v>
      </c>
      <c r="K56" s="15" t="e">
        <f>IF(M56+5&lt;$U$2,"N/A",M56+5)</f>
        <v>#VALUE!</v>
      </c>
      <c r="L56" s="15" t="e">
        <f>M53+1</f>
        <v>#VALUE!</v>
      </c>
      <c r="M56" s="15" t="e">
        <f>H$4+1740</f>
        <v>#VALUE!</v>
      </c>
      <c r="N56" s="65">
        <f ca="1">IF(TODAY()&gt;40421,"",IF($G$2="","",IF(AND($G$2&gt;=L56-15,$G$2&lt;M56),"-END DATE","")))</f>
      </c>
    </row>
    <row r="57" spans="3:14" ht="12.75">
      <c r="C57" s="62" t="s">
        <v>38</v>
      </c>
      <c r="D57" s="15" t="e">
        <f>IF(F57+5&lt;$U$2,"N/A",F57+5)</f>
        <v>#VALUE!</v>
      </c>
      <c r="E57" s="15" t="e">
        <f>F56+1</f>
        <v>#VALUE!</v>
      </c>
      <c r="F57" s="15" t="e">
        <f>H$4+870</f>
        <v>#VALUE!</v>
      </c>
      <c r="G57" s="65">
        <f ca="1">IF(TODAY()&gt;40421,"",IF($G$2="","",IF(AND($G$2&gt;=E57-15,$G$2&lt;F57),"-END DATE","")))</f>
      </c>
      <c r="H57" s="1"/>
      <c r="I57" s="21"/>
      <c r="J57" s="62" t="s">
        <v>38</v>
      </c>
      <c r="K57" s="15" t="e">
        <f>IF(M57+5&lt;$U$2,"N/A",M57+5)</f>
        <v>#VALUE!</v>
      </c>
      <c r="L57" s="15" t="e">
        <f>M56+1</f>
        <v>#VALUE!</v>
      </c>
      <c r="M57" s="15" t="e">
        <f>H$4+1770</f>
        <v>#VALUE!</v>
      </c>
      <c r="N57" s="65">
        <f ca="1">IF(TODAY()&gt;40421,"",IF($G$2="","",IF(AND($G$2&gt;=L57-15,$G$2&lt;M57),"-END DATE","")))</f>
      </c>
    </row>
    <row r="58" spans="3:14" ht="12.75">
      <c r="C58" s="62" t="s">
        <v>38</v>
      </c>
      <c r="D58" s="15" t="e">
        <f>IF(F58+5&lt;$U$2,"N/A",F58+5)</f>
        <v>#VALUE!</v>
      </c>
      <c r="E58" s="15" t="e">
        <f>F57+1</f>
        <v>#VALUE!</v>
      </c>
      <c r="F58" s="15" t="e">
        <f>H$4+900</f>
        <v>#VALUE!</v>
      </c>
      <c r="G58" s="65">
        <f ca="1">IF(TODAY()&gt;40421,"",IF($G$2="","",IF(AND($G$2&gt;=E58-15,$G$2&lt;F58),"-END DATE","")))</f>
      </c>
      <c r="H58" s="1"/>
      <c r="I58" s="21"/>
      <c r="J58" s="62" t="s">
        <v>38</v>
      </c>
      <c r="K58" s="15" t="e">
        <f>IF(M58+5&lt;$U$2,"N/A",M58+5)</f>
        <v>#VALUE!</v>
      </c>
      <c r="L58" s="15" t="e">
        <f>M57+1</f>
        <v>#VALUE!</v>
      </c>
      <c r="M58" s="15" t="e">
        <f>H$4+1800</f>
        <v>#VALUE!</v>
      </c>
      <c r="N58" s="65">
        <f ca="1">IF(TODAY()&gt;40421,"",IF($G$2="","",IF(AND($G$2&gt;=L58-15,$G$2&lt;M58),"-END DATE","")))</f>
      </c>
    </row>
    <row r="59" ht="12.75">
      <c r="N59" s="28"/>
    </row>
  </sheetData>
  <sheetProtection password="C9BC" sheet="1" objects="1" scenarios="1" selectLockedCells="1"/>
  <mergeCells count="32">
    <mergeCell ref="A2:D2"/>
    <mergeCell ref="H2:N2"/>
    <mergeCell ref="N6:N7"/>
    <mergeCell ref="L6:M6"/>
    <mergeCell ref="A6:B7"/>
    <mergeCell ref="H5:J5"/>
    <mergeCell ref="H54:J54"/>
    <mergeCell ref="A54:C54"/>
    <mergeCell ref="H29:J29"/>
    <mergeCell ref="H49:J49"/>
    <mergeCell ref="A34:C34"/>
    <mergeCell ref="A39:C39"/>
    <mergeCell ref="H34:J34"/>
    <mergeCell ref="H39:J39"/>
    <mergeCell ref="A29:C29"/>
    <mergeCell ref="D9:F9"/>
    <mergeCell ref="B4:D4"/>
    <mergeCell ref="E6:F6"/>
    <mergeCell ref="H19:J19"/>
    <mergeCell ref="H24:J24"/>
    <mergeCell ref="D5:F5"/>
    <mergeCell ref="I4:K4"/>
    <mergeCell ref="H9:J9"/>
    <mergeCell ref="H14:J14"/>
    <mergeCell ref="H44:J44"/>
    <mergeCell ref="A49:C49"/>
    <mergeCell ref="H6:I7"/>
    <mergeCell ref="A44:C44"/>
    <mergeCell ref="G6:G7"/>
    <mergeCell ref="A14:C14"/>
    <mergeCell ref="A19:C19"/>
    <mergeCell ref="A24:C24"/>
  </mergeCells>
  <conditionalFormatting sqref="C17:C18 J12:J13 C22:C23 C27:C28 C32:C33 C37:C38 C42:C43 C47:C48 C52:C53 C57:C58 J17:J18 J22:J23 J27:J28 J32:J33 J37:J38 J42:J43 J47:J48 J52:J53 J57:J58">
    <cfRule type="expression" priority="1" dxfId="0" stopIfTrue="1">
      <formula>AND(TODAY()&lt;=D12,TODAY()&gt;D11)</formula>
    </cfRule>
  </conditionalFormatting>
  <conditionalFormatting sqref="C21 C26 C31 C36 C41 C46 C51 C56 J16 J21 J26 J31 J36 J41 J46 J51 J56">
    <cfRule type="expression" priority="2" dxfId="0" stopIfTrue="1">
      <formula>AND(TODAY()&lt;=D16,TODAY()&gt;D13)</formula>
    </cfRule>
  </conditionalFormatting>
  <conditionalFormatting sqref="J11">
    <cfRule type="expression" priority="3" dxfId="0" stopIfTrue="1">
      <formula>AND(TODAY()&lt;=K11,TODAY()&gt;D58)</formula>
    </cfRule>
  </conditionalFormatting>
  <conditionalFormatting sqref="G12">
    <cfRule type="expression" priority="4" dxfId="27" stopIfTrue="1">
      <formula>AND(TODAY()&lt;D12,TODAY()&gt;E11)</formula>
    </cfRule>
  </conditionalFormatting>
  <conditionalFormatting sqref="G13 N51:N53 N46:N48 G16:G18 G21:G23 G26:G28 G31:G33 G36:G38 G41:G43 G46:G48 G51:G53 G56:G58 N11:N13 N16:N18 N21:N23 N26:N28 N31:N33 N36:N38 N41:N43 N56:N58">
    <cfRule type="expression" priority="5" dxfId="27" stopIfTrue="1">
      <formula>F11-$G$2&gt;=15</formula>
    </cfRule>
  </conditionalFormatting>
  <conditionalFormatting sqref="F3">
    <cfRule type="expression" priority="6" dxfId="26" stopIfTrue="1">
      <formula>$Q$2=0</formula>
    </cfRule>
  </conditionalFormatting>
  <conditionalFormatting sqref="B9 B11 B15 B20 B25 D26:F28 D21:F23 D16:F18 D12:F13">
    <cfRule type="expression" priority="7" dxfId="25" stopIfTrue="1">
      <formula>$G$4=""</formula>
    </cfRule>
  </conditionalFormatting>
  <conditionalFormatting sqref="H55:I58 K55:M58 J55">
    <cfRule type="expression" priority="8" dxfId="3" stopIfTrue="1">
      <formula>$M$4&lt;16</formula>
    </cfRule>
  </conditionalFormatting>
  <conditionalFormatting sqref="H49:I53 K49:M53 J49:J50">
    <cfRule type="expression" priority="9" dxfId="3" stopIfTrue="1">
      <formula>$M$4&lt;15</formula>
    </cfRule>
  </conditionalFormatting>
  <conditionalFormatting sqref="H45:I48 K45:M48 J45">
    <cfRule type="expression" priority="10" dxfId="3" stopIfTrue="1">
      <formula>$M$4&lt;14</formula>
    </cfRule>
  </conditionalFormatting>
  <conditionalFormatting sqref="H40:I43 K40:M43 J40">
    <cfRule type="expression" priority="11" dxfId="3" stopIfTrue="1">
      <formula>$M$4&lt;13</formula>
    </cfRule>
  </conditionalFormatting>
  <conditionalFormatting sqref="H35:I38 K35:M38 J35">
    <cfRule type="expression" priority="12" dxfId="3" stopIfTrue="1">
      <formula>$M$4&lt;12</formula>
    </cfRule>
  </conditionalFormatting>
  <conditionalFormatting sqref="H30:I33 K30:M33 J30">
    <cfRule type="expression" priority="13" dxfId="3" stopIfTrue="1">
      <formula>$M$4&lt;11</formula>
    </cfRule>
  </conditionalFormatting>
  <conditionalFormatting sqref="H25:I28 K25:M28 J25">
    <cfRule type="expression" priority="14" dxfId="3" stopIfTrue="1">
      <formula>$M$4&lt;10</formula>
    </cfRule>
  </conditionalFormatting>
  <conditionalFormatting sqref="H20:I23 K20:M23 J20">
    <cfRule type="expression" priority="15" dxfId="3" stopIfTrue="1">
      <formula>$M$4&lt;9</formula>
    </cfRule>
  </conditionalFormatting>
  <conditionalFormatting sqref="H15:I18 K15:M18 J15">
    <cfRule type="expression" priority="16" dxfId="3" stopIfTrue="1">
      <formula>$M$4&lt;8</formula>
    </cfRule>
  </conditionalFormatting>
  <conditionalFormatting sqref="H6:M7 H10:I13 K10:M13 J10">
    <cfRule type="expression" priority="17" dxfId="3" stopIfTrue="1">
      <formula>$M$4&lt;7</formula>
    </cfRule>
  </conditionalFormatting>
  <conditionalFormatting sqref="A55:B58 D55:F58 C55">
    <cfRule type="expression" priority="18" dxfId="3" stopIfTrue="1">
      <formula>$M$4&lt;6</formula>
    </cfRule>
  </conditionalFormatting>
  <conditionalFormatting sqref="A50:B53 D50:F53 C50">
    <cfRule type="expression" priority="19" dxfId="3" stopIfTrue="1">
      <formula>$M$4&lt;5</formula>
    </cfRule>
  </conditionalFormatting>
  <conditionalFormatting sqref="D45:F48 A45:A48 B45:C45 B47:B48">
    <cfRule type="expression" priority="20" dxfId="3" stopIfTrue="1">
      <formula>$M$4&lt;4</formula>
    </cfRule>
  </conditionalFormatting>
  <conditionalFormatting sqref="D40:F43 A40:C40 A42:B43">
    <cfRule type="expression" priority="21" dxfId="3" stopIfTrue="1">
      <formula>$M$4&lt;3</formula>
    </cfRule>
  </conditionalFormatting>
  <conditionalFormatting sqref="A35:B38 C35 D35:F38">
    <cfRule type="expression" priority="22" dxfId="3" stopIfTrue="1">
      <formula>$M$4&lt;2</formula>
    </cfRule>
  </conditionalFormatting>
  <conditionalFormatting sqref="E30:F33 A30:B33 C30:D30 D31:D33">
    <cfRule type="expression" priority="23" dxfId="3" stopIfTrue="1">
      <formula>$M$4&lt;1</formula>
    </cfRule>
  </conditionalFormatting>
  <conditionalFormatting sqref="I4:M4">
    <cfRule type="expression" priority="24" dxfId="8" stopIfTrue="1">
      <formula>$G$4=""</formula>
    </cfRule>
  </conditionalFormatting>
  <conditionalFormatting sqref="A41:B41">
    <cfRule type="expression" priority="25" dxfId="3" stopIfTrue="1">
      <formula>$M$4&lt;3</formula>
    </cfRule>
  </conditionalFormatting>
  <conditionalFormatting sqref="B46">
    <cfRule type="expression" priority="26" dxfId="3" stopIfTrue="1">
      <formula>$M$4&lt;4</formula>
    </cfRule>
  </conditionalFormatting>
  <conditionalFormatting sqref="A2:E2">
    <cfRule type="cellIs" priority="27" dxfId="5" operator="notEqual" stopIfTrue="1">
      <formula>""</formula>
    </cfRule>
  </conditionalFormatting>
  <conditionalFormatting sqref="F2">
    <cfRule type="expression" priority="28" dxfId="4" stopIfTrue="1">
      <formula>$E$2=""</formula>
    </cfRule>
  </conditionalFormatting>
  <conditionalFormatting sqref="G2">
    <cfRule type="expression" priority="29" dxfId="3" stopIfTrue="1">
      <formula>TODAY()&gt;40329</formula>
    </cfRule>
    <cfRule type="cellIs" priority="30" dxfId="2" operator="equal" stopIfTrue="1">
      <formula>""</formula>
    </cfRule>
  </conditionalFormatting>
  <conditionalFormatting sqref="C16">
    <cfRule type="expression" priority="31" dxfId="0" stopIfTrue="1">
      <formula>AND(TODAY()&lt;=D16,TODAY()&gt;D13)</formula>
    </cfRule>
  </conditionalFormatting>
  <conditionalFormatting sqref="C13">
    <cfRule type="expression" priority="32" dxfId="0" stopIfTrue="1">
      <formula>AND(TODAY()&lt;=D13,TODAY()&gt;D12)</formula>
    </cfRule>
  </conditionalFormatting>
  <printOptions/>
  <pageMargins left="0.5" right="0.5" top="1" bottom="0.5" header="0.5" footer="0.5"/>
  <pageSetup horizontalDpi="600" verticalDpi="600" orientation="portrait" r:id="rId2"/>
  <headerFooter alignWithMargins="0">
    <oddHeader>&amp;C&amp;"Times New Roman,Bold"&amp;14Monthly Treatment Plan Progress Report Schedule&amp;"Arial,Regular"&amp;10
</oddHeader>
    <oddFooter>&amp;L&amp;8&amp;Z&amp;F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dpanchura</dc:creator>
  <cp:keywords/>
  <dc:description/>
  <cp:lastModifiedBy>NOWAK, AMANDA</cp:lastModifiedBy>
  <cp:lastPrinted>2010-03-30T18:22:46Z</cp:lastPrinted>
  <dcterms:created xsi:type="dcterms:W3CDTF">2010-03-03T21:22:50Z</dcterms:created>
  <dcterms:modified xsi:type="dcterms:W3CDTF">2016-09-21T19:14:27Z</dcterms:modified>
  <cp:category/>
  <cp:version/>
  <cp:contentType/>
  <cp:contentStatus/>
</cp:coreProperties>
</file>