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sei\Desktop\Successfully Establishing Plants for Pollinators - 2016-2-25&amp;26\"/>
    </mc:Choice>
  </mc:AlternateContent>
  <bookViews>
    <workbookView xWindow="900" yWindow="-72" windowWidth="15480" windowHeight="9432" tabRatio="599" firstSheet="1" activeTab="1"/>
  </bookViews>
  <sheets>
    <sheet name="KEY DATA" sheetId="58" r:id="rId1"/>
    <sheet name="POLLINATOR PLANTING" sheetId="49" r:id="rId2"/>
    <sheet name="SEED-SEEDLING Selection" sheetId="57" r:id="rId3"/>
    <sheet name="PPBudPrintLong" sheetId="50" r:id="rId4"/>
    <sheet name="PPBudPrintShort" sheetId="51" r:id="rId5"/>
    <sheet name="PPBudPrintUpFront" sheetId="54" r:id="rId6"/>
  </sheets>
  <externalReferences>
    <externalReference r:id="rId7"/>
    <externalReference r:id="rId8"/>
  </externalReferences>
  <definedNames>
    <definedName name="_xlnm._FilterDatabase" localSheetId="2" hidden="1">'SEED-SEEDLING Selection'!$A$13:$AT$99</definedName>
    <definedName name="acres" localSheetId="2">#REF!</definedName>
    <definedName name="acres">#REF!</definedName>
    <definedName name="adirondack">'[1]Key Data'!$B$7</definedName>
    <definedName name="aeu" localSheetId="2">#REF!</definedName>
    <definedName name="aeu">#REF!</definedName>
    <definedName name="allblue">'[1]Key Data'!$B$8</definedName>
    <definedName name="andover">'[1]Key Data'!$B$5</definedName>
    <definedName name="beepasture">'POLLINATOR PLANTING'!$H$5</definedName>
    <definedName name="beets">'[1]Key Data'!$B$16</definedName>
    <definedName name="blueberry" localSheetId="2">#REF!</definedName>
    <definedName name="blueberry">#REF!</definedName>
    <definedName name="bubarley" localSheetId="2">#REF!</definedName>
    <definedName name="bubarley">#REF!</definedName>
    <definedName name="bugraincorn" localSheetId="2">#REF!</definedName>
    <definedName name="bugraincorn">#REF!</definedName>
    <definedName name="bugrcorn" localSheetId="2">#REF!</definedName>
    <definedName name="bugrcorn">#REF!</definedName>
    <definedName name="buhmcorn" localSheetId="2">#REF!</definedName>
    <definedName name="buhmcorn">#REF!</definedName>
    <definedName name="buoats" localSheetId="2">#REF!</definedName>
    <definedName name="buoats">#REF!</definedName>
    <definedName name="busoy" localSheetId="2">#REF!</definedName>
    <definedName name="busoy">#REF!</definedName>
    <definedName name="buspelt" localSheetId="2">#REF!</definedName>
    <definedName name="buspelt">#REF!</definedName>
    <definedName name="butriticale" localSheetId="2">#REF!</definedName>
    <definedName name="butriticale">#REF!</definedName>
    <definedName name="buwheat" localSheetId="2">#REF!</definedName>
    <definedName name="buwheat">#REF!</definedName>
    <definedName name="clover">'[2]BEE PASTURE'!$H$3</definedName>
    <definedName name="cordweight" localSheetId="2">#REF!</definedName>
    <definedName name="cordweight">#REF!</definedName>
    <definedName name="cranberry" localSheetId="2">#REF!</definedName>
    <definedName name="cranberry">#REF!</definedName>
    <definedName name="crops">'[1]Key Data'!$B$21</definedName>
    <definedName name="fuelprice" localSheetId="2">#REF!</definedName>
    <definedName name="fuelprice">#REF!</definedName>
    <definedName name="fuelunit" localSheetId="2">#REF!</definedName>
    <definedName name="fuelunit">#REF!</definedName>
    <definedName name="hourspermonth" localSheetId="2">#REF!</definedName>
    <definedName name="hourspermonth">#REF!</definedName>
    <definedName name="hrpermonth" localSheetId="2">#REF!</definedName>
    <definedName name="hrpermonth">#REF!</definedName>
    <definedName name="monthsperyear" localSheetId="2">#REF!</definedName>
    <definedName name="monthsperyear">#REF!</definedName>
    <definedName name="pf" localSheetId="2">#REF!</definedName>
    <definedName name="pf">#REF!</definedName>
    <definedName name="_xlnm.Print_Area" localSheetId="4">PPBudPrintShort!$A$1:$G$74</definedName>
    <definedName name="_xlnm.Print_Area" localSheetId="5">PPBudPrintUpFront!$A$1:$G$74</definedName>
    <definedName name="_xlnm.Print_Area" localSheetId="2">'SEED-SEEDLING Selection'!$B$13:$AL$112</definedName>
    <definedName name="timeunit" localSheetId="2">#REF!</definedName>
    <definedName name="timeunit">#REF!</definedName>
    <definedName name="totalyield" localSheetId="2">#REF!</definedName>
    <definedName name="totalyield">#REF!</definedName>
    <definedName name="unsown">'[2]BEE PASTURE'!$H$2</definedName>
    <definedName name="wage" localSheetId="2">#REF!</definedName>
    <definedName name="wage">#REF!</definedName>
    <definedName name="workers" localSheetId="2">#REF!</definedName>
    <definedName name="workers">#REF!</definedName>
    <definedName name="yukon">'[1]Key Data'!$B$4</definedName>
  </definedNames>
  <calcPr calcId="152511"/>
</workbook>
</file>

<file path=xl/calcChain.xml><?xml version="1.0" encoding="utf-8"?>
<calcChain xmlns="http://schemas.openxmlformats.org/spreadsheetml/2006/main">
  <c r="H53" i="49" l="1"/>
  <c r="B27" i="54" s="1"/>
  <c r="D27" i="54" s="1"/>
  <c r="B33" i="54"/>
  <c r="F27" i="54" l="1"/>
  <c r="S253" i="49"/>
  <c r="O253" i="49"/>
  <c r="K253" i="49"/>
  <c r="I253" i="49"/>
  <c r="L253" i="49" s="1"/>
  <c r="J129" i="49"/>
  <c r="J128" i="49"/>
  <c r="J124" i="49"/>
  <c r="J123" i="49"/>
  <c r="J132" i="49"/>
  <c r="H132" i="49" s="1"/>
  <c r="H48" i="50" s="1"/>
  <c r="M132" i="49"/>
  <c r="U132" i="49"/>
  <c r="V132" i="49" s="1"/>
  <c r="O132" i="49"/>
  <c r="K132" i="49"/>
  <c r="I132" i="49"/>
  <c r="L132" i="49" s="1"/>
  <c r="J120" i="49"/>
  <c r="M120" i="49"/>
  <c r="V120" i="49"/>
  <c r="U120" i="49"/>
  <c r="R48" i="49"/>
  <c r="L48" i="49"/>
  <c r="J48" i="49"/>
  <c r="N53" i="49"/>
  <c r="J53" i="49"/>
  <c r="O14" i="49"/>
  <c r="H361" i="49"/>
  <c r="J361" i="49" s="1"/>
  <c r="K361" i="49" s="1"/>
  <c r="B361" i="49" s="1"/>
  <c r="M2" i="49"/>
  <c r="N253" i="49" l="1"/>
  <c r="H253" i="49" s="1"/>
  <c r="B132" i="49"/>
  <c r="D132" i="49" s="1"/>
  <c r="K397" i="49"/>
  <c r="I387" i="49"/>
  <c r="AF2" i="49"/>
  <c r="AD12" i="49"/>
  <c r="AD11" i="49"/>
  <c r="AD10" i="49"/>
  <c r="AD9" i="49"/>
  <c r="X9" i="49"/>
  <c r="Z13" i="49"/>
  <c r="AD17" i="49"/>
  <c r="AD16" i="49"/>
  <c r="AD15" i="49"/>
  <c r="S11" i="49"/>
  <c r="S10" i="49"/>
  <c r="S9" i="49"/>
  <c r="T47" i="49"/>
  <c r="J19" i="58"/>
  <c r="V39" i="49"/>
  <c r="S16" i="49"/>
  <c r="S15" i="49"/>
  <c r="S2" i="49"/>
  <c r="F1" i="49"/>
  <c r="K39" i="49" s="1"/>
  <c r="AH3" i="49"/>
  <c r="AH2" i="49"/>
  <c r="A3" i="49"/>
  <c r="K5" i="49"/>
  <c r="B253" i="49" l="1"/>
  <c r="D253" i="49" s="1"/>
  <c r="H84" i="50"/>
  <c r="F132" i="49"/>
  <c r="B48" i="50"/>
  <c r="K47" i="49"/>
  <c r="C26" i="58"/>
  <c r="F20" i="58"/>
  <c r="C10" i="58"/>
  <c r="F10" i="58" s="1"/>
  <c r="F253" i="49" l="1"/>
  <c r="B84" i="50"/>
  <c r="F48" i="50"/>
  <c r="D48" i="50"/>
  <c r="AM4" i="49"/>
  <c r="F84" i="50" l="1"/>
  <c r="D84" i="50"/>
  <c r="AS99" i="57"/>
  <c r="H2" i="57" l="1"/>
  <c r="G23" i="57"/>
  <c r="G98" i="57"/>
  <c r="G96" i="57"/>
  <c r="G90" i="57"/>
  <c r="G74" i="57"/>
  <c r="G64" i="57"/>
  <c r="G62" i="57"/>
  <c r="G60" i="57"/>
  <c r="G58" i="57"/>
  <c r="G56" i="57"/>
  <c r="G54" i="57"/>
  <c r="G46" i="57"/>
  <c r="G44" i="57"/>
  <c r="G38" i="57"/>
  <c r="G32" i="57"/>
  <c r="G30" i="57"/>
  <c r="G28" i="57"/>
  <c r="G20" i="57"/>
  <c r="G14" i="57"/>
  <c r="H11" i="57"/>
  <c r="H99" i="57" s="1"/>
  <c r="P3" i="49"/>
  <c r="P2" i="49"/>
  <c r="H33" i="57" l="1"/>
  <c r="H57" i="57"/>
  <c r="L57" i="57" s="1"/>
  <c r="H29" i="57"/>
  <c r="L29" i="57" s="1"/>
  <c r="H97" i="57"/>
  <c r="L97" i="57" s="1"/>
  <c r="H65" i="57"/>
  <c r="L65" i="57" s="1"/>
  <c r="H59" i="57"/>
  <c r="L59" i="57" s="1"/>
  <c r="H61" i="57"/>
  <c r="H23" i="57"/>
  <c r="L23" i="57" s="1"/>
  <c r="I2" i="57"/>
  <c r="M2" i="57" s="1"/>
  <c r="H31" i="57"/>
  <c r="H63" i="57"/>
  <c r="L63" i="57" s="1"/>
  <c r="H39" i="57"/>
  <c r="L39" i="57" s="1"/>
  <c r="H75" i="57"/>
  <c r="L75" i="57" s="1"/>
  <c r="H45" i="57"/>
  <c r="L45" i="57" s="1"/>
  <c r="H55" i="57"/>
  <c r="J101" i="57"/>
  <c r="K46" i="49" s="1"/>
  <c r="R96" i="57"/>
  <c r="I96" i="57"/>
  <c r="I90" i="57"/>
  <c r="I74" i="57"/>
  <c r="I64" i="57"/>
  <c r="I62" i="57"/>
  <c r="I60" i="57"/>
  <c r="I58" i="57"/>
  <c r="I56" i="57"/>
  <c r="I54" i="57"/>
  <c r="R38" i="57"/>
  <c r="I46" i="57"/>
  <c r="I44" i="57"/>
  <c r="I38" i="57"/>
  <c r="I32" i="57"/>
  <c r="I30" i="57"/>
  <c r="I28" i="57"/>
  <c r="I20" i="57"/>
  <c r="L99" i="57"/>
  <c r="L98" i="57"/>
  <c r="I98" i="57"/>
  <c r="L96" i="57"/>
  <c r="L95" i="57"/>
  <c r="L94" i="57"/>
  <c r="I94" i="57"/>
  <c r="L93" i="57"/>
  <c r="L92" i="57"/>
  <c r="L91" i="57"/>
  <c r="L90" i="57"/>
  <c r="L89" i="57"/>
  <c r="L88" i="57"/>
  <c r="L87" i="57"/>
  <c r="L86" i="57"/>
  <c r="L85" i="57"/>
  <c r="L84" i="57"/>
  <c r="L83" i="57"/>
  <c r="L82" i="57"/>
  <c r="L81" i="57"/>
  <c r="L80" i="57"/>
  <c r="L79" i="57"/>
  <c r="L78" i="57"/>
  <c r="L77" i="57"/>
  <c r="L76" i="57"/>
  <c r="L74" i="57"/>
  <c r="L73" i="57"/>
  <c r="L72" i="57"/>
  <c r="L71" i="57"/>
  <c r="L70" i="57"/>
  <c r="L69" i="57"/>
  <c r="L68" i="57"/>
  <c r="L67" i="57"/>
  <c r="L66" i="57"/>
  <c r="L64" i="57"/>
  <c r="L62" i="57"/>
  <c r="L61" i="57"/>
  <c r="L60" i="57"/>
  <c r="L58" i="57"/>
  <c r="L56" i="57"/>
  <c r="L54" i="57"/>
  <c r="L53" i="57"/>
  <c r="L52" i="57"/>
  <c r="L51" i="57"/>
  <c r="L50" i="57"/>
  <c r="L49" i="57"/>
  <c r="L48" i="57"/>
  <c r="L47" i="57"/>
  <c r="L46" i="57"/>
  <c r="L44" i="57"/>
  <c r="L43" i="57"/>
  <c r="L42" i="57"/>
  <c r="L41" i="57"/>
  <c r="L40" i="57"/>
  <c r="L38" i="57"/>
  <c r="L37" i="57"/>
  <c r="L36" i="57"/>
  <c r="L35" i="57"/>
  <c r="L34" i="57"/>
  <c r="L33" i="57"/>
  <c r="L32" i="57"/>
  <c r="L30" i="57"/>
  <c r="L28" i="57"/>
  <c r="L27" i="57"/>
  <c r="L26" i="57"/>
  <c r="L25" i="57"/>
  <c r="L24" i="57"/>
  <c r="L22" i="57"/>
  <c r="L21" i="57"/>
  <c r="L20" i="57"/>
  <c r="I14" i="57"/>
  <c r="L19" i="57"/>
  <c r="L18" i="57"/>
  <c r="L17" i="57"/>
  <c r="L16" i="57"/>
  <c r="L15" i="57"/>
  <c r="L14" i="57"/>
  <c r="L2" i="57"/>
  <c r="G101" i="57"/>
  <c r="H12" i="57"/>
  <c r="R20" i="57"/>
  <c r="R90" i="57"/>
  <c r="AS70" i="57"/>
  <c r="AS71" i="57"/>
  <c r="AS72" i="57"/>
  <c r="AS73" i="57"/>
  <c r="AS74" i="57"/>
  <c r="AK70" i="57"/>
  <c r="AK71" i="57"/>
  <c r="AK72" i="57"/>
  <c r="AK73" i="57"/>
  <c r="AK74" i="57"/>
  <c r="AH56" i="57"/>
  <c r="AH30" i="57"/>
  <c r="AC71" i="57"/>
  <c r="AC72" i="57"/>
  <c r="AC73" i="57"/>
  <c r="Z56" i="57"/>
  <c r="M101" i="57" l="1"/>
  <c r="K38" i="49" s="1"/>
  <c r="L31" i="57"/>
  <c r="K101" i="57"/>
  <c r="M103" i="57" s="1"/>
  <c r="H38" i="49" s="1"/>
  <c r="H101" i="57"/>
  <c r="L55" i="57"/>
  <c r="J104" i="57"/>
  <c r="J107" i="57" s="1"/>
  <c r="I101" i="57"/>
  <c r="J103" i="57" s="1"/>
  <c r="AK85" i="57"/>
  <c r="AS37" i="57"/>
  <c r="AS41" i="57"/>
  <c r="AS43" i="57"/>
  <c r="AH38" i="57"/>
  <c r="AS19" i="57"/>
  <c r="AK40" i="57"/>
  <c r="V38" i="49" l="1"/>
  <c r="L101" i="57"/>
  <c r="M104" i="57"/>
  <c r="M105" i="57" s="1"/>
  <c r="J46" i="49"/>
  <c r="H46" i="49"/>
  <c r="J105" i="57"/>
  <c r="AC95" i="57"/>
  <c r="AC67" i="57"/>
  <c r="AC43" i="57"/>
  <c r="AC27" i="57"/>
  <c r="AC26" i="57"/>
  <c r="AC25" i="57"/>
  <c r="AC24" i="57"/>
  <c r="U39" i="57"/>
  <c r="M107" i="57" l="1"/>
  <c r="L109" i="57" s="1"/>
  <c r="L111" i="57" s="1"/>
  <c r="U72" i="57"/>
  <c r="U73" i="57"/>
  <c r="U77" i="57"/>
  <c r="U63" i="57"/>
  <c r="U51" i="57"/>
  <c r="R46" i="57"/>
  <c r="U27" i="57"/>
  <c r="L110" i="57" l="1"/>
  <c r="R14" i="57"/>
  <c r="AT101" i="57"/>
  <c r="AR101" i="57"/>
  <c r="AQ101" i="57"/>
  <c r="AO101" i="57"/>
  <c r="AN101" i="57"/>
  <c r="AL101" i="57"/>
  <c r="AJ101" i="57"/>
  <c r="AI101" i="57"/>
  <c r="AG101" i="57"/>
  <c r="AF101" i="57"/>
  <c r="AD101" i="57"/>
  <c r="AB101" i="57"/>
  <c r="AA101" i="57"/>
  <c r="Y101" i="57"/>
  <c r="X101" i="57"/>
  <c r="V101" i="57"/>
  <c r="B11" i="57" s="1"/>
  <c r="T101" i="57"/>
  <c r="S101" i="57"/>
  <c r="B9" i="57" s="1"/>
  <c r="Q101" i="57"/>
  <c r="P101" i="57"/>
  <c r="AK99" i="57"/>
  <c r="AC99" i="57"/>
  <c r="U99" i="57"/>
  <c r="AS98" i="57"/>
  <c r="AK98" i="57"/>
  <c r="AC98" i="57"/>
  <c r="U98" i="57"/>
  <c r="R98" i="57"/>
  <c r="AS97" i="57"/>
  <c r="AK97" i="57"/>
  <c r="AC97" i="57"/>
  <c r="U97" i="57"/>
  <c r="AS96" i="57"/>
  <c r="AK96" i="57"/>
  <c r="AC96" i="57"/>
  <c r="U96" i="57"/>
  <c r="AS95" i="57"/>
  <c r="AK95" i="57"/>
  <c r="U95" i="57"/>
  <c r="AS94" i="57"/>
  <c r="AK94" i="57"/>
  <c r="AH94" i="57"/>
  <c r="AC94" i="57"/>
  <c r="U94" i="57"/>
  <c r="AS93" i="57"/>
  <c r="AK93" i="57"/>
  <c r="AC93" i="57"/>
  <c r="U93" i="57"/>
  <c r="AS92" i="57"/>
  <c r="AK92" i="57"/>
  <c r="AC92" i="57"/>
  <c r="U92" i="57"/>
  <c r="AS91" i="57"/>
  <c r="AK91" i="57"/>
  <c r="AC91" i="57"/>
  <c r="U91" i="57"/>
  <c r="AS90" i="57"/>
  <c r="AK90" i="57"/>
  <c r="AC90" i="57"/>
  <c r="U90" i="57"/>
  <c r="AS89" i="57"/>
  <c r="AK89" i="57"/>
  <c r="AC89" i="57"/>
  <c r="U89" i="57"/>
  <c r="AS88" i="57"/>
  <c r="AK88" i="57"/>
  <c r="AH88" i="57"/>
  <c r="AC88" i="57"/>
  <c r="U88" i="57"/>
  <c r="AS87" i="57"/>
  <c r="AK87" i="57"/>
  <c r="AC87" i="57"/>
  <c r="U87" i="57"/>
  <c r="AS86" i="57"/>
  <c r="AK86" i="57"/>
  <c r="AH86" i="57"/>
  <c r="AC86" i="57"/>
  <c r="U86" i="57"/>
  <c r="AS85" i="57"/>
  <c r="AC85" i="57"/>
  <c r="U85" i="57"/>
  <c r="AS84" i="57"/>
  <c r="AK84" i="57"/>
  <c r="AC84" i="57"/>
  <c r="U84" i="57"/>
  <c r="AS83" i="57"/>
  <c r="AK83" i="57"/>
  <c r="AC83" i="57"/>
  <c r="U83" i="57"/>
  <c r="AS82" i="57"/>
  <c r="AK82" i="57"/>
  <c r="AC82" i="57"/>
  <c r="U82" i="57"/>
  <c r="AS81" i="57"/>
  <c r="AK81" i="57"/>
  <c r="AC81" i="57"/>
  <c r="U81" i="57"/>
  <c r="AS80" i="57"/>
  <c r="AK80" i="57"/>
  <c r="AH80" i="57"/>
  <c r="AC80" i="57"/>
  <c r="U80" i="57"/>
  <c r="AS79" i="57"/>
  <c r="AK79" i="57"/>
  <c r="AC79" i="57"/>
  <c r="U79" i="57"/>
  <c r="AS78" i="57"/>
  <c r="AK78" i="57"/>
  <c r="AC78" i="57"/>
  <c r="U78" i="57"/>
  <c r="AS77" i="57"/>
  <c r="AK77" i="57"/>
  <c r="AC77" i="57"/>
  <c r="AS76" i="57"/>
  <c r="AK76" i="57"/>
  <c r="AH76" i="57"/>
  <c r="AC76" i="57"/>
  <c r="U76" i="57"/>
  <c r="AS75" i="57"/>
  <c r="AK75" i="57"/>
  <c r="AC75" i="57"/>
  <c r="U75" i="57"/>
  <c r="AC74" i="57"/>
  <c r="U74" i="57"/>
  <c r="R74" i="57"/>
  <c r="U71" i="57"/>
  <c r="AC70" i="57"/>
  <c r="U70" i="57"/>
  <c r="AS69" i="57"/>
  <c r="AK69" i="57"/>
  <c r="AC69" i="57"/>
  <c r="U69" i="57"/>
  <c r="AS68" i="57"/>
  <c r="AK68" i="57"/>
  <c r="AC68" i="57"/>
  <c r="U68" i="57"/>
  <c r="AS67" i="57"/>
  <c r="AK67" i="57"/>
  <c r="U67" i="57"/>
  <c r="AS66" i="57"/>
  <c r="AK66" i="57"/>
  <c r="AC66" i="57"/>
  <c r="U66" i="57"/>
  <c r="AS65" i="57"/>
  <c r="AK65" i="57"/>
  <c r="AC65" i="57"/>
  <c r="U65" i="57"/>
  <c r="AS64" i="57"/>
  <c r="AK64" i="57"/>
  <c r="AC64" i="57"/>
  <c r="U64" i="57"/>
  <c r="R64" i="57"/>
  <c r="AS63" i="57"/>
  <c r="AK63" i="57"/>
  <c r="AC63" i="57"/>
  <c r="AS62" i="57"/>
  <c r="AK62" i="57"/>
  <c r="AC62" i="57"/>
  <c r="U62" i="57"/>
  <c r="R62" i="57"/>
  <c r="AS61" i="57"/>
  <c r="AK61" i="57"/>
  <c r="AC61" i="57"/>
  <c r="U61" i="57"/>
  <c r="AS60" i="57"/>
  <c r="AK60" i="57"/>
  <c r="AC60" i="57"/>
  <c r="U60" i="57"/>
  <c r="R60" i="57"/>
  <c r="AS59" i="57"/>
  <c r="AK59" i="57"/>
  <c r="AC59" i="57"/>
  <c r="U59" i="57"/>
  <c r="AS58" i="57"/>
  <c r="AK58" i="57"/>
  <c r="AC58" i="57"/>
  <c r="U58" i="57"/>
  <c r="R58" i="57"/>
  <c r="AS57" i="57"/>
  <c r="AK57" i="57"/>
  <c r="AC57" i="57"/>
  <c r="U57" i="57"/>
  <c r="AS56" i="57"/>
  <c r="AK56" i="57"/>
  <c r="AC56" i="57"/>
  <c r="U56" i="57"/>
  <c r="R56" i="57"/>
  <c r="AS55" i="57"/>
  <c r="AK55" i="57"/>
  <c r="AC55" i="57"/>
  <c r="U55" i="57"/>
  <c r="AS54" i="57"/>
  <c r="AK54" i="57"/>
  <c r="AC54" i="57"/>
  <c r="U54" i="57"/>
  <c r="R54" i="57"/>
  <c r="AS53" i="57"/>
  <c r="AK53" i="57"/>
  <c r="AC53" i="57"/>
  <c r="U53" i="57"/>
  <c r="AS52" i="57"/>
  <c r="AK52" i="57"/>
  <c r="AC52" i="57"/>
  <c r="U52" i="57"/>
  <c r="AS51" i="57"/>
  <c r="AK51" i="57"/>
  <c r="AC51" i="57"/>
  <c r="AS50" i="57"/>
  <c r="AK50" i="57"/>
  <c r="AH50" i="57"/>
  <c r="AC50" i="57"/>
  <c r="U50" i="57"/>
  <c r="AS49" i="57"/>
  <c r="AK49" i="57"/>
  <c r="AC49" i="57"/>
  <c r="U49" i="57"/>
  <c r="AS48" i="57"/>
  <c r="AK48" i="57"/>
  <c r="AC48" i="57"/>
  <c r="U48" i="57"/>
  <c r="AS47" i="57"/>
  <c r="AK47" i="57"/>
  <c r="AC47" i="57"/>
  <c r="U47" i="57"/>
  <c r="AS46" i="57"/>
  <c r="AK46" i="57"/>
  <c r="AC46" i="57"/>
  <c r="U46" i="57"/>
  <c r="AS45" i="57"/>
  <c r="AK45" i="57"/>
  <c r="AC45" i="57"/>
  <c r="U45" i="57"/>
  <c r="AS44" i="57"/>
  <c r="AK44" i="57"/>
  <c r="AC44" i="57"/>
  <c r="U44" i="57"/>
  <c r="R44" i="57"/>
  <c r="AK43" i="57"/>
  <c r="U43" i="57"/>
  <c r="AS42" i="57"/>
  <c r="AK42" i="57"/>
  <c r="AH42" i="57"/>
  <c r="AC42" i="57"/>
  <c r="U42" i="57"/>
  <c r="AK41" i="57"/>
  <c r="AC41" i="57"/>
  <c r="U41" i="57"/>
  <c r="AS40" i="57"/>
  <c r="AC40" i="57"/>
  <c r="U40" i="57"/>
  <c r="AS39" i="57"/>
  <c r="AK39" i="57"/>
  <c r="AC39" i="57"/>
  <c r="AS38" i="57"/>
  <c r="AK38" i="57"/>
  <c r="AC38" i="57"/>
  <c r="U38" i="57"/>
  <c r="AK37" i="57"/>
  <c r="AC37" i="57"/>
  <c r="U37" i="57"/>
  <c r="AS36" i="57"/>
  <c r="AK36" i="57"/>
  <c r="AH36" i="57"/>
  <c r="AC36" i="57"/>
  <c r="U36" i="57"/>
  <c r="AK35" i="57"/>
  <c r="AC35" i="57"/>
  <c r="U35" i="57"/>
  <c r="AS34" i="57"/>
  <c r="AK34" i="57"/>
  <c r="AH34" i="57"/>
  <c r="AC34" i="57"/>
  <c r="U34" i="57"/>
  <c r="AS33" i="57"/>
  <c r="AK33" i="57"/>
  <c r="AC33" i="57"/>
  <c r="U33" i="57"/>
  <c r="AS32" i="57"/>
  <c r="AK32" i="57"/>
  <c r="AC32" i="57"/>
  <c r="U32" i="57"/>
  <c r="R32" i="57"/>
  <c r="AS31" i="57"/>
  <c r="AK31" i="57"/>
  <c r="AC31" i="57"/>
  <c r="U31" i="57"/>
  <c r="AS30" i="57"/>
  <c r="AK30" i="57"/>
  <c r="AC30" i="57"/>
  <c r="U30" i="57"/>
  <c r="R30" i="57"/>
  <c r="AS29" i="57"/>
  <c r="AK29" i="57"/>
  <c r="AC29" i="57"/>
  <c r="U29" i="57"/>
  <c r="AS28" i="57"/>
  <c r="AK28" i="57"/>
  <c r="AC28" i="57"/>
  <c r="U28" i="57"/>
  <c r="R28" i="57"/>
  <c r="AS27" i="57"/>
  <c r="AK27" i="57"/>
  <c r="AS26" i="57"/>
  <c r="AK26" i="57"/>
  <c r="U26" i="57"/>
  <c r="AS25" i="57"/>
  <c r="AK25" i="57"/>
  <c r="U25" i="57"/>
  <c r="AS24" i="57"/>
  <c r="AK24" i="57"/>
  <c r="U24" i="57"/>
  <c r="AS23" i="57"/>
  <c r="AK23" i="57"/>
  <c r="AC23" i="57"/>
  <c r="U23" i="57"/>
  <c r="AS22" i="57"/>
  <c r="AK22" i="57"/>
  <c r="AC22" i="57"/>
  <c r="U22" i="57"/>
  <c r="AS21" i="57"/>
  <c r="AK21" i="57"/>
  <c r="AC21" i="57"/>
  <c r="U21" i="57"/>
  <c r="AS20" i="57"/>
  <c r="AK20" i="57"/>
  <c r="AC20" i="57"/>
  <c r="U20" i="57"/>
  <c r="AK19" i="57"/>
  <c r="AC19" i="57"/>
  <c r="U19" i="57"/>
  <c r="AS18" i="57"/>
  <c r="AK18" i="57"/>
  <c r="AH18" i="57"/>
  <c r="AC18" i="57"/>
  <c r="U18" i="57"/>
  <c r="AS17" i="57"/>
  <c r="AK17" i="57"/>
  <c r="AC17" i="57"/>
  <c r="U17" i="57"/>
  <c r="AS16" i="57"/>
  <c r="AK16" i="57"/>
  <c r="AC16" i="57"/>
  <c r="U16" i="57"/>
  <c r="AS15" i="57"/>
  <c r="AK15" i="57"/>
  <c r="AC15" i="57"/>
  <c r="U15" i="57"/>
  <c r="AS14" i="57"/>
  <c r="AK14" i="57"/>
  <c r="AC14" i="57"/>
  <c r="AA104" i="57"/>
  <c r="U14" i="57"/>
  <c r="AP12" i="57"/>
  <c r="AO12" i="57"/>
  <c r="AH12" i="57"/>
  <c r="AG12" i="57"/>
  <c r="Z12" i="57"/>
  <c r="Y12" i="57"/>
  <c r="R12" i="57"/>
  <c r="Q12" i="57"/>
  <c r="E11" i="57"/>
  <c r="D11" i="57"/>
  <c r="C11" i="57"/>
  <c r="E10" i="57"/>
  <c r="D10" i="57"/>
  <c r="C10" i="57"/>
  <c r="E9" i="57"/>
  <c r="D9" i="57"/>
  <c r="C9" i="57"/>
  <c r="E8" i="57"/>
  <c r="D8" i="57"/>
  <c r="C8" i="57"/>
  <c r="E7" i="57"/>
  <c r="D7" i="57"/>
  <c r="C7" i="57"/>
  <c r="E6" i="57"/>
  <c r="D6" i="57"/>
  <c r="C6" i="57"/>
  <c r="E5" i="57"/>
  <c r="D5" i="57"/>
  <c r="C5" i="57"/>
  <c r="B5" i="57"/>
  <c r="E4" i="57"/>
  <c r="D4" i="57"/>
  <c r="C4" i="57"/>
  <c r="B4" i="57"/>
  <c r="E3" i="57"/>
  <c r="D3" i="57"/>
  <c r="C3" i="57"/>
  <c r="B3" i="57"/>
  <c r="AT2" i="57"/>
  <c r="AS2" i="57"/>
  <c r="AM2" i="57"/>
  <c r="AL2" i="57"/>
  <c r="AK2" i="57"/>
  <c r="AE2" i="57"/>
  <c r="AD2" i="57"/>
  <c r="AC2" i="57"/>
  <c r="W2" i="57"/>
  <c r="V2" i="57"/>
  <c r="B7" i="57" s="1"/>
  <c r="U2" i="57"/>
  <c r="B6" i="57" s="1"/>
  <c r="O2" i="57"/>
  <c r="AM1" i="57"/>
  <c r="AE1" i="57"/>
  <c r="W1" i="57"/>
  <c r="O1" i="57"/>
  <c r="AJ12" i="57" l="1"/>
  <c r="T12" i="57"/>
  <c r="AQ104" i="57"/>
  <c r="AQ107" i="57" s="1"/>
  <c r="AS101" i="57"/>
  <c r="AI104" i="57"/>
  <c r="AI107" i="57" s="1"/>
  <c r="AT103" i="57"/>
  <c r="AT104" i="57"/>
  <c r="AT105" i="57" s="1"/>
  <c r="AK101" i="57"/>
  <c r="AR12" i="57"/>
  <c r="AL103" i="57"/>
  <c r="AD103" i="57"/>
  <c r="AB12" i="57"/>
  <c r="V103" i="57"/>
  <c r="AH101" i="57"/>
  <c r="AI103" i="57" s="1"/>
  <c r="Z101" i="57"/>
  <c r="AA103" i="57" s="1"/>
  <c r="AD104" i="57"/>
  <c r="AD105" i="57" s="1"/>
  <c r="R101" i="57"/>
  <c r="S103" i="57" s="1"/>
  <c r="V104" i="57"/>
  <c r="V105" i="57" s="1"/>
  <c r="B10" i="57"/>
  <c r="AA107" i="57"/>
  <c r="AA105" i="57"/>
  <c r="AC101" i="57"/>
  <c r="U101" i="57"/>
  <c r="S104" i="57"/>
  <c r="AL104" i="57"/>
  <c r="AP101" i="57"/>
  <c r="AQ103" i="57" s="1"/>
  <c r="AQ105" i="57" l="1"/>
  <c r="AI105" i="57"/>
  <c r="AT107" i="57"/>
  <c r="AS109" i="57" s="1"/>
  <c r="V107" i="57"/>
  <c r="AD107" i="57"/>
  <c r="AC109" i="57" s="1"/>
  <c r="AC111" i="57" s="1"/>
  <c r="B8" i="57"/>
  <c r="AL107" i="57"/>
  <c r="AK109" i="57" s="1"/>
  <c r="AL105" i="57"/>
  <c r="S107" i="57"/>
  <c r="S105" i="57"/>
  <c r="U109" i="57" l="1"/>
  <c r="U111" i="57" s="1"/>
  <c r="AC110" i="57"/>
  <c r="AK111" i="57"/>
  <c r="AK110" i="57"/>
  <c r="AS111" i="57"/>
  <c r="AS110" i="57"/>
  <c r="P4" i="49"/>
  <c r="Z9" i="49" s="1"/>
  <c r="J47" i="49"/>
  <c r="R46" i="49"/>
  <c r="W54" i="49"/>
  <c r="O46" i="49"/>
  <c r="B46" i="49" s="1"/>
  <c r="AI1" i="49"/>
  <c r="L46" i="49"/>
  <c r="B21" i="49"/>
  <c r="B22" i="49"/>
  <c r="B23" i="49"/>
  <c r="B24" i="49"/>
  <c r="B25" i="49"/>
  <c r="B26" i="49"/>
  <c r="B28" i="49"/>
  <c r="T29" i="49"/>
  <c r="S29" i="49" s="1"/>
  <c r="O29" i="49"/>
  <c r="T30" i="49"/>
  <c r="S30" i="49" s="1"/>
  <c r="O30" i="49"/>
  <c r="T31" i="49"/>
  <c r="S31" i="49" s="1"/>
  <c r="O31" i="49"/>
  <c r="K32" i="49"/>
  <c r="O32" i="49"/>
  <c r="B33" i="49"/>
  <c r="B21" i="50" s="1"/>
  <c r="K35" i="49"/>
  <c r="O35" i="49"/>
  <c r="U4" i="49"/>
  <c r="W4" i="49" s="1"/>
  <c r="AE4" i="49"/>
  <c r="H44" i="49" s="1"/>
  <c r="O36" i="49"/>
  <c r="B37" i="49"/>
  <c r="O38" i="49"/>
  <c r="N38" i="49"/>
  <c r="J39" i="49"/>
  <c r="O39" i="49"/>
  <c r="N39" i="49"/>
  <c r="S41" i="49"/>
  <c r="H41" i="49"/>
  <c r="K41" i="49"/>
  <c r="O41" i="49"/>
  <c r="S42" i="49"/>
  <c r="H42" i="49" s="1"/>
  <c r="K42" i="49"/>
  <c r="O42" i="49"/>
  <c r="S43" i="49"/>
  <c r="H43" i="49"/>
  <c r="K43" i="49"/>
  <c r="O43" i="49"/>
  <c r="O44" i="49"/>
  <c r="S45" i="49"/>
  <c r="H45" i="49" s="1"/>
  <c r="K45" i="49"/>
  <c r="O45" i="49"/>
  <c r="Y46" i="49"/>
  <c r="O47" i="49"/>
  <c r="O50" i="49"/>
  <c r="AA4" i="49"/>
  <c r="U51" i="49"/>
  <c r="U55" i="49"/>
  <c r="V55" i="49" s="1"/>
  <c r="K51" i="49" s="1"/>
  <c r="O51" i="49"/>
  <c r="H55" i="49"/>
  <c r="K55" i="49"/>
  <c r="H56" i="49"/>
  <c r="K56" i="49"/>
  <c r="B56" i="49" s="1"/>
  <c r="K57" i="49"/>
  <c r="S58" i="49"/>
  <c r="H58" i="49" s="1"/>
  <c r="K58" i="49"/>
  <c r="O58" i="49"/>
  <c r="S59" i="49"/>
  <c r="K59" i="49"/>
  <c r="O59" i="49"/>
  <c r="O180" i="49" s="1"/>
  <c r="S60" i="49"/>
  <c r="H60" i="49"/>
  <c r="K60" i="49"/>
  <c r="O60" i="49"/>
  <c r="K61" i="49"/>
  <c r="O61" i="49"/>
  <c r="O182" i="49" s="1"/>
  <c r="K62" i="49"/>
  <c r="O62" i="49"/>
  <c r="O183" i="49" s="1"/>
  <c r="K64" i="49"/>
  <c r="O64" i="49"/>
  <c r="O185" i="49" s="1"/>
  <c r="H65" i="49"/>
  <c r="K65" i="49"/>
  <c r="O65" i="49"/>
  <c r="O186" i="49" s="1"/>
  <c r="T66" i="49"/>
  <c r="M66" i="49"/>
  <c r="K66" i="49"/>
  <c r="O66" i="49"/>
  <c r="K67" i="49"/>
  <c r="O67" i="49"/>
  <c r="T68" i="49"/>
  <c r="W68" i="49" s="1"/>
  <c r="U68" i="49"/>
  <c r="K68" i="49"/>
  <c r="O68" i="49"/>
  <c r="O189" i="49" s="1"/>
  <c r="T69" i="49"/>
  <c r="U69" i="49"/>
  <c r="W69" i="49" s="1"/>
  <c r="K69" i="49"/>
  <c r="O69" i="49"/>
  <c r="U70" i="49"/>
  <c r="W70" i="49"/>
  <c r="R70" i="49" s="1"/>
  <c r="S70" i="49" s="1"/>
  <c r="M70" i="49" s="1"/>
  <c r="K70" i="49"/>
  <c r="O70" i="49"/>
  <c r="O191" i="49" s="1"/>
  <c r="T71" i="49"/>
  <c r="U71" i="49"/>
  <c r="W71" i="49"/>
  <c r="R71" i="49" s="1"/>
  <c r="S71" i="49" s="1"/>
  <c r="M71" i="49" s="1"/>
  <c r="K71" i="49"/>
  <c r="O71" i="49"/>
  <c r="O192" i="49" s="1"/>
  <c r="T72" i="49"/>
  <c r="U72" i="49"/>
  <c r="W72" i="49"/>
  <c r="R72" i="49" s="1"/>
  <c r="S72" i="49" s="1"/>
  <c r="M72" i="49" s="1"/>
  <c r="K72" i="49"/>
  <c r="O72" i="49"/>
  <c r="O193" i="49" s="1"/>
  <c r="T73" i="49"/>
  <c r="U73" i="49"/>
  <c r="W73" i="49"/>
  <c r="R73" i="49" s="1"/>
  <c r="S73" i="49" s="1"/>
  <c r="M73" i="49" s="1"/>
  <c r="K73" i="49"/>
  <c r="O73" i="49"/>
  <c r="O194" i="49" s="1"/>
  <c r="U74" i="49"/>
  <c r="W74" i="49" s="1"/>
  <c r="K74" i="49"/>
  <c r="O74" i="49"/>
  <c r="O195" i="49" s="1"/>
  <c r="T75" i="49"/>
  <c r="U75" i="49"/>
  <c r="W75" i="49"/>
  <c r="R75" i="49" s="1"/>
  <c r="S75" i="49" s="1"/>
  <c r="M75" i="49" s="1"/>
  <c r="K75" i="49"/>
  <c r="O75" i="49"/>
  <c r="O196" i="49" s="1"/>
  <c r="T76" i="49"/>
  <c r="U76" i="49"/>
  <c r="W76" i="49" s="1"/>
  <c r="K76" i="49"/>
  <c r="O76" i="49"/>
  <c r="O197" i="49" s="1"/>
  <c r="T77" i="49"/>
  <c r="W77" i="49" s="1"/>
  <c r="U77" i="49"/>
  <c r="K77" i="49"/>
  <c r="O77" i="49"/>
  <c r="O198" i="49" s="1"/>
  <c r="U78" i="49"/>
  <c r="W78" i="49" s="1"/>
  <c r="K78" i="49"/>
  <c r="O78" i="49"/>
  <c r="O199" i="49" s="1"/>
  <c r="T79" i="49"/>
  <c r="U79" i="49"/>
  <c r="W79" i="49"/>
  <c r="R79" i="49" s="1"/>
  <c r="S79" i="49" s="1"/>
  <c r="M79" i="49" s="1"/>
  <c r="K79" i="49"/>
  <c r="O79" i="49"/>
  <c r="O200" i="49" s="1"/>
  <c r="S80" i="49"/>
  <c r="M80" i="49" s="1"/>
  <c r="H80" i="49" s="1"/>
  <c r="K80" i="49"/>
  <c r="O80" i="49"/>
  <c r="K81" i="49"/>
  <c r="B81" i="49" s="1"/>
  <c r="K82" i="49"/>
  <c r="B82" i="49" s="1"/>
  <c r="K83" i="49"/>
  <c r="B83" i="49" s="1"/>
  <c r="K85" i="49"/>
  <c r="O85" i="49"/>
  <c r="K86" i="49"/>
  <c r="O86" i="49"/>
  <c r="K87" i="49"/>
  <c r="O87" i="49"/>
  <c r="O208" i="49" s="1"/>
  <c r="K88" i="49"/>
  <c r="O88" i="49"/>
  <c r="K89" i="49"/>
  <c r="O89" i="49"/>
  <c r="K90" i="49"/>
  <c r="O90" i="49"/>
  <c r="K91" i="49"/>
  <c r="O91" i="49"/>
  <c r="K92" i="49"/>
  <c r="O92" i="49"/>
  <c r="O213" i="49" s="1"/>
  <c r="K93" i="49"/>
  <c r="O93" i="49"/>
  <c r="K94" i="49"/>
  <c r="O94" i="49"/>
  <c r="K95" i="49"/>
  <c r="O95" i="49"/>
  <c r="O216" i="49" s="1"/>
  <c r="K96" i="49"/>
  <c r="O96" i="49"/>
  <c r="K97" i="49"/>
  <c r="O97" i="49"/>
  <c r="K98" i="49"/>
  <c r="O98" i="49"/>
  <c r="K99" i="49"/>
  <c r="O99" i="49"/>
  <c r="K101" i="49"/>
  <c r="O101" i="49"/>
  <c r="T102" i="49"/>
  <c r="W102" i="49"/>
  <c r="X102" i="49" s="1"/>
  <c r="M102" i="49" s="1"/>
  <c r="K102" i="49"/>
  <c r="O102" i="49"/>
  <c r="O223" i="49" s="1"/>
  <c r="K103" i="49"/>
  <c r="O103" i="49"/>
  <c r="O224" i="49" s="1"/>
  <c r="T104" i="49"/>
  <c r="W104" i="49"/>
  <c r="X104" i="49" s="1"/>
  <c r="M104" i="49" s="1"/>
  <c r="K104" i="49"/>
  <c r="O104" i="49"/>
  <c r="O225" i="49" s="1"/>
  <c r="K105" i="49"/>
  <c r="O105" i="49"/>
  <c r="O226" i="49" s="1"/>
  <c r="T106" i="49"/>
  <c r="W106" i="49" s="1"/>
  <c r="X106" i="49" s="1"/>
  <c r="M106" i="49" s="1"/>
  <c r="K106" i="49"/>
  <c r="O106" i="49"/>
  <c r="O227" i="49" s="1"/>
  <c r="K107" i="49"/>
  <c r="O107" i="49"/>
  <c r="O228" i="49" s="1"/>
  <c r="K108" i="49"/>
  <c r="O108" i="49"/>
  <c r="O229" i="49" s="1"/>
  <c r="S109" i="49"/>
  <c r="M109" i="49" s="1"/>
  <c r="H109" i="49" s="1"/>
  <c r="H40" i="50" s="1"/>
  <c r="K109" i="49"/>
  <c r="O109" i="49"/>
  <c r="O230" i="49" s="1"/>
  <c r="H110" i="49"/>
  <c r="K110" i="49"/>
  <c r="O110" i="49"/>
  <c r="R111" i="49"/>
  <c r="S111" i="49" s="1"/>
  <c r="M111" i="49" s="1"/>
  <c r="H111" i="49" s="1"/>
  <c r="K111" i="49"/>
  <c r="O111" i="49"/>
  <c r="H112" i="49"/>
  <c r="K112" i="49"/>
  <c r="O112" i="49"/>
  <c r="S113" i="49"/>
  <c r="M113" i="49"/>
  <c r="H113" i="49" s="1"/>
  <c r="K113" i="49"/>
  <c r="O113" i="49"/>
  <c r="O234" i="49" s="1"/>
  <c r="H114" i="49"/>
  <c r="K114" i="49"/>
  <c r="O114" i="49"/>
  <c r="S115" i="49"/>
  <c r="M115" i="49" s="1"/>
  <c r="H115" i="49" s="1"/>
  <c r="K115" i="49"/>
  <c r="O115" i="49"/>
  <c r="W116" i="49"/>
  <c r="X116" i="49"/>
  <c r="M116" i="49" s="1"/>
  <c r="K116" i="49"/>
  <c r="O116" i="49"/>
  <c r="O237" i="49" s="1"/>
  <c r="S117" i="49"/>
  <c r="M117" i="49" s="1"/>
  <c r="H117" i="49" s="1"/>
  <c r="K117" i="49"/>
  <c r="O117" i="49"/>
  <c r="O238" i="49" s="1"/>
  <c r="T118" i="49"/>
  <c r="U118" i="49" s="1"/>
  <c r="J118" i="49"/>
  <c r="N239" i="49" s="1"/>
  <c r="K118" i="49"/>
  <c r="O118" i="49"/>
  <c r="O239" i="49" s="1"/>
  <c r="H119" i="49"/>
  <c r="K119" i="49"/>
  <c r="O119" i="49"/>
  <c r="K120" i="49"/>
  <c r="O120" i="49"/>
  <c r="K121" i="49"/>
  <c r="O121" i="49"/>
  <c r="K122" i="49"/>
  <c r="O122" i="49"/>
  <c r="W123" i="49"/>
  <c r="X123" i="49"/>
  <c r="M123" i="49" s="1"/>
  <c r="N244" i="49"/>
  <c r="K123" i="49"/>
  <c r="O123" i="49"/>
  <c r="O244" i="49" s="1"/>
  <c r="W124" i="49"/>
  <c r="X124" i="49" s="1"/>
  <c r="M124" i="49" s="1"/>
  <c r="N245" i="49"/>
  <c r="K124" i="49"/>
  <c r="O124" i="49"/>
  <c r="O245" i="49" s="1"/>
  <c r="H125" i="49"/>
  <c r="K125" i="49"/>
  <c r="O125" i="49"/>
  <c r="R126" i="49"/>
  <c r="S126" i="49" s="1"/>
  <c r="M126" i="49" s="1"/>
  <c r="H126" i="49" s="1"/>
  <c r="K126" i="49"/>
  <c r="O126" i="49"/>
  <c r="R127" i="49"/>
  <c r="S127" i="49"/>
  <c r="M127" i="49" s="1"/>
  <c r="H127" i="49" s="1"/>
  <c r="K127" i="49"/>
  <c r="O127" i="49"/>
  <c r="T128" i="49"/>
  <c r="U128" i="49"/>
  <c r="W128" i="49"/>
  <c r="X128" i="49" s="1"/>
  <c r="M128" i="49" s="1"/>
  <c r="N249" i="49"/>
  <c r="K128" i="49"/>
  <c r="O128" i="49"/>
  <c r="O249" i="49" s="1"/>
  <c r="S129" i="49"/>
  <c r="M129" i="49" s="1"/>
  <c r="N250" i="49"/>
  <c r="K129" i="49"/>
  <c r="O129" i="49"/>
  <c r="O250" i="49" s="1"/>
  <c r="S130" i="49"/>
  <c r="M130" i="49" s="1"/>
  <c r="H130" i="49" s="1"/>
  <c r="K130" i="49"/>
  <c r="O130" i="49"/>
  <c r="H131" i="49"/>
  <c r="K131" i="49"/>
  <c r="O131" i="49"/>
  <c r="S133" i="49"/>
  <c r="M133" i="49" s="1"/>
  <c r="H133" i="49" s="1"/>
  <c r="K133" i="49"/>
  <c r="S134" i="49"/>
  <c r="M134" i="49" s="1"/>
  <c r="H134" i="49" s="1"/>
  <c r="J134" i="49"/>
  <c r="K134" i="49"/>
  <c r="S135" i="49"/>
  <c r="M135" i="49"/>
  <c r="K135" i="49"/>
  <c r="O135" i="49"/>
  <c r="O256" i="49" s="1"/>
  <c r="S136" i="49"/>
  <c r="M136" i="49" s="1"/>
  <c r="J136" i="49"/>
  <c r="K136" i="49"/>
  <c r="O136" i="49"/>
  <c r="O257" i="49" s="1"/>
  <c r="R137" i="49"/>
  <c r="S137" i="49"/>
  <c r="M137" i="49" s="1"/>
  <c r="H137" i="49" s="1"/>
  <c r="H50" i="50" s="1"/>
  <c r="K137" i="49"/>
  <c r="T138" i="49"/>
  <c r="W138" i="49" s="1"/>
  <c r="X138" i="49" s="1"/>
  <c r="M138" i="49" s="1"/>
  <c r="K138" i="49"/>
  <c r="O138" i="49"/>
  <c r="O259" i="49" s="1"/>
  <c r="K139" i="49"/>
  <c r="K141" i="49"/>
  <c r="W142" i="49"/>
  <c r="X142" i="49" s="1"/>
  <c r="M142" i="49" s="1"/>
  <c r="K142" i="49"/>
  <c r="S143" i="49"/>
  <c r="M143" i="49" s="1"/>
  <c r="H143" i="49" s="1"/>
  <c r="H56" i="50" s="1"/>
  <c r="K143" i="49"/>
  <c r="K144" i="49"/>
  <c r="K145" i="49"/>
  <c r="T147" i="49"/>
  <c r="U147" i="49"/>
  <c r="W147" i="49" s="1"/>
  <c r="K147" i="49"/>
  <c r="O147" i="49"/>
  <c r="O268" i="49" s="1"/>
  <c r="T148" i="49"/>
  <c r="U148" i="49"/>
  <c r="W148" i="49" s="1"/>
  <c r="K148" i="49"/>
  <c r="O148" i="49"/>
  <c r="O269" i="49" s="1"/>
  <c r="U149" i="49"/>
  <c r="W149" i="49"/>
  <c r="R149" i="49" s="1"/>
  <c r="S149" i="49" s="1"/>
  <c r="M149" i="49" s="1"/>
  <c r="K149" i="49"/>
  <c r="O149" i="49"/>
  <c r="O270" i="49" s="1"/>
  <c r="T150" i="49"/>
  <c r="W150" i="49" s="1"/>
  <c r="U150" i="49"/>
  <c r="K150" i="49"/>
  <c r="O150" i="49"/>
  <c r="O271" i="49" s="1"/>
  <c r="T152" i="49"/>
  <c r="U152" i="49"/>
  <c r="W152" i="49" s="1"/>
  <c r="K152" i="49"/>
  <c r="O152" i="49"/>
  <c r="O273" i="49" s="1"/>
  <c r="T153" i="49"/>
  <c r="U153" i="49"/>
  <c r="W153" i="49"/>
  <c r="R153" i="49" s="1"/>
  <c r="S153" i="49" s="1"/>
  <c r="M153" i="49" s="1"/>
  <c r="K153" i="49"/>
  <c r="O153" i="49"/>
  <c r="U154" i="49"/>
  <c r="W154" i="49" s="1"/>
  <c r="K154" i="49"/>
  <c r="O154" i="49"/>
  <c r="O275" i="49" s="1"/>
  <c r="T155" i="49"/>
  <c r="W155" i="49" s="1"/>
  <c r="U155" i="49"/>
  <c r="K155" i="49"/>
  <c r="O155" i="49"/>
  <c r="O276" i="49" s="1"/>
  <c r="T156" i="49"/>
  <c r="W156" i="49" s="1"/>
  <c r="U156" i="49"/>
  <c r="J156" i="49"/>
  <c r="N277" i="49" s="1"/>
  <c r="K156" i="49"/>
  <c r="O156" i="49"/>
  <c r="O277" i="49" s="1"/>
  <c r="T157" i="49"/>
  <c r="U157" i="49"/>
  <c r="W157" i="49" s="1"/>
  <c r="J157" i="49"/>
  <c r="N278" i="49" s="1"/>
  <c r="K157" i="49"/>
  <c r="O157" i="49"/>
  <c r="O278" i="49" s="1"/>
  <c r="U158" i="49"/>
  <c r="W158" i="49"/>
  <c r="R158" i="49" s="1"/>
  <c r="S158" i="49" s="1"/>
  <c r="M158" i="49" s="1"/>
  <c r="J158" i="49"/>
  <c r="N279" i="49" s="1"/>
  <c r="K158" i="49"/>
  <c r="O158" i="49"/>
  <c r="O279" i="49" s="1"/>
  <c r="T159" i="49"/>
  <c r="U159" i="49"/>
  <c r="W159" i="49"/>
  <c r="X159" i="49" s="1"/>
  <c r="M159" i="49" s="1"/>
  <c r="J159" i="49"/>
  <c r="N280" i="49" s="1"/>
  <c r="K159" i="49"/>
  <c r="O159" i="49"/>
  <c r="O280" i="49" s="1"/>
  <c r="T161" i="49"/>
  <c r="U161" i="49"/>
  <c r="W161" i="49"/>
  <c r="R161" i="49" s="1"/>
  <c r="S161" i="49" s="1"/>
  <c r="M161" i="49" s="1"/>
  <c r="J161" i="49"/>
  <c r="N282" i="49" s="1"/>
  <c r="K161" i="49"/>
  <c r="O161" i="49"/>
  <c r="O282" i="49" s="1"/>
  <c r="T162" i="49"/>
  <c r="U162" i="49"/>
  <c r="W162" i="49" s="1"/>
  <c r="J162" i="49"/>
  <c r="N283" i="49" s="1"/>
  <c r="K162" i="49"/>
  <c r="O162" i="49"/>
  <c r="O283" i="49" s="1"/>
  <c r="U163" i="49"/>
  <c r="W163" i="49" s="1"/>
  <c r="J163" i="49"/>
  <c r="N284" i="49" s="1"/>
  <c r="K163" i="49"/>
  <c r="O163" i="49"/>
  <c r="O284" i="49" s="1"/>
  <c r="T164" i="49"/>
  <c r="W164" i="49" s="1"/>
  <c r="U164" i="49"/>
  <c r="J164" i="49"/>
  <c r="N285" i="49" s="1"/>
  <c r="K164" i="49"/>
  <c r="O164" i="49"/>
  <c r="O285" i="49" s="1"/>
  <c r="B166" i="49"/>
  <c r="B62" i="50" s="1"/>
  <c r="B167" i="49"/>
  <c r="B168" i="49"/>
  <c r="B171" i="49"/>
  <c r="B172" i="49"/>
  <c r="B173" i="49"/>
  <c r="B174" i="49"/>
  <c r="N176" i="49"/>
  <c r="K176" i="49"/>
  <c r="O176" i="49"/>
  <c r="N177" i="49"/>
  <c r="H177" i="49" s="1"/>
  <c r="K177" i="49"/>
  <c r="O177" i="49"/>
  <c r="N178" i="49"/>
  <c r="K178" i="49"/>
  <c r="O178" i="49"/>
  <c r="N179" i="49"/>
  <c r="H179" i="49"/>
  <c r="K179" i="49"/>
  <c r="N180" i="49"/>
  <c r="K180" i="49"/>
  <c r="N181" i="49"/>
  <c r="H181" i="49" s="1"/>
  <c r="K181" i="49"/>
  <c r="N182" i="49"/>
  <c r="K182" i="49"/>
  <c r="N183" i="49"/>
  <c r="H183" i="49" s="1"/>
  <c r="H69" i="50" s="1"/>
  <c r="K183" i="49"/>
  <c r="K185" i="49"/>
  <c r="H186" i="49"/>
  <c r="K186" i="49"/>
  <c r="N187" i="49"/>
  <c r="K187" i="49"/>
  <c r="O187" i="49"/>
  <c r="R201" i="49"/>
  <c r="R188" i="49" s="1"/>
  <c r="S188" i="49" s="1"/>
  <c r="M188" i="49" s="1"/>
  <c r="H188" i="49" s="1"/>
  <c r="N188" i="49"/>
  <c r="K188" i="49"/>
  <c r="O188" i="49"/>
  <c r="N189" i="49"/>
  <c r="K189" i="49"/>
  <c r="N190" i="49"/>
  <c r="K190" i="49"/>
  <c r="O190" i="49"/>
  <c r="N191" i="49"/>
  <c r="K191" i="49"/>
  <c r="N192" i="49"/>
  <c r="K192" i="49"/>
  <c r="N193" i="49"/>
  <c r="K193" i="49"/>
  <c r="N194" i="49"/>
  <c r="K194" i="49"/>
  <c r="N195" i="49"/>
  <c r="K195" i="49"/>
  <c r="N196" i="49"/>
  <c r="K196" i="49"/>
  <c r="N197" i="49"/>
  <c r="K197" i="49"/>
  <c r="N198" i="49"/>
  <c r="K198" i="49"/>
  <c r="N199" i="49"/>
  <c r="K199" i="49"/>
  <c r="N200" i="49"/>
  <c r="K200" i="49"/>
  <c r="S201" i="49"/>
  <c r="M201" i="49" s="1"/>
  <c r="N201" i="49"/>
  <c r="K201" i="49"/>
  <c r="K202" i="49"/>
  <c r="O202" i="49"/>
  <c r="K203" i="49"/>
  <c r="B203" i="49" s="1"/>
  <c r="O203" i="49"/>
  <c r="K204" i="49"/>
  <c r="O204" i="49"/>
  <c r="K206" i="49"/>
  <c r="K207" i="49"/>
  <c r="K208" i="49"/>
  <c r="K209" i="49"/>
  <c r="K210" i="49"/>
  <c r="K211" i="49"/>
  <c r="O211" i="49"/>
  <c r="K212" i="49"/>
  <c r="K213" i="49"/>
  <c r="K214" i="49"/>
  <c r="K215" i="49"/>
  <c r="O215" i="49"/>
  <c r="B215" i="49" s="1"/>
  <c r="K216" i="49"/>
  <c r="K217" i="49"/>
  <c r="K218" i="49"/>
  <c r="K219" i="49"/>
  <c r="O219" i="49"/>
  <c r="K220" i="49"/>
  <c r="K222" i="49"/>
  <c r="N223" i="49"/>
  <c r="K223" i="49"/>
  <c r="R228" i="49"/>
  <c r="R229" i="49"/>
  <c r="R224" i="49"/>
  <c r="S224" i="49" s="1"/>
  <c r="M224" i="49" s="1"/>
  <c r="N224" i="49"/>
  <c r="K224" i="49"/>
  <c r="R225" i="49"/>
  <c r="S225" i="49"/>
  <c r="M225" i="49"/>
  <c r="N225" i="49"/>
  <c r="K225" i="49"/>
  <c r="R226" i="49"/>
  <c r="S226" i="49" s="1"/>
  <c r="M226" i="49" s="1"/>
  <c r="N226" i="49"/>
  <c r="K226" i="49"/>
  <c r="R227" i="49"/>
  <c r="S227" i="49" s="1"/>
  <c r="M227" i="49" s="1"/>
  <c r="N227" i="49"/>
  <c r="K227" i="49"/>
  <c r="S228" i="49"/>
  <c r="M228" i="49" s="1"/>
  <c r="N228" i="49"/>
  <c r="K228" i="49"/>
  <c r="S229" i="49"/>
  <c r="M229" i="49" s="1"/>
  <c r="N229" i="49"/>
  <c r="K229" i="49"/>
  <c r="R230" i="49"/>
  <c r="S230" i="49" s="1"/>
  <c r="M230" i="49" s="1"/>
  <c r="N230" i="49"/>
  <c r="K230" i="49"/>
  <c r="N231" i="49"/>
  <c r="H231" i="49" s="1"/>
  <c r="K231" i="49"/>
  <c r="R232" i="49"/>
  <c r="S232" i="49"/>
  <c r="M232" i="49" s="1"/>
  <c r="H232" i="49" s="1"/>
  <c r="N232" i="49"/>
  <c r="K232" i="49"/>
  <c r="N233" i="49"/>
  <c r="H233" i="49" s="1"/>
  <c r="K233" i="49"/>
  <c r="R234" i="49"/>
  <c r="S234" i="49" s="1"/>
  <c r="M234" i="49" s="1"/>
  <c r="H234" i="49" s="1"/>
  <c r="N234" i="49"/>
  <c r="K234" i="49"/>
  <c r="N235" i="49"/>
  <c r="H235" i="49" s="1"/>
  <c r="K235" i="49"/>
  <c r="N236" i="49"/>
  <c r="H236" i="49" s="1"/>
  <c r="K236" i="49"/>
  <c r="N237" i="49"/>
  <c r="K237" i="49"/>
  <c r="N238" i="49"/>
  <c r="H238" i="49" s="1"/>
  <c r="K238" i="49"/>
  <c r="K239" i="49"/>
  <c r="N240" i="49"/>
  <c r="H240" i="49"/>
  <c r="K240" i="49"/>
  <c r="N241" i="49"/>
  <c r="H241" i="49" s="1"/>
  <c r="K241" i="49"/>
  <c r="N242" i="49"/>
  <c r="H242" i="49"/>
  <c r="K242" i="49"/>
  <c r="S243" i="49"/>
  <c r="M243" i="49" s="1"/>
  <c r="H243" i="49" s="1"/>
  <c r="N243" i="49"/>
  <c r="K243" i="49"/>
  <c r="K244" i="49"/>
  <c r="K245" i="49"/>
  <c r="N246" i="49"/>
  <c r="H246" i="49" s="1"/>
  <c r="K246" i="49"/>
  <c r="O246" i="49"/>
  <c r="S247" i="49"/>
  <c r="M247" i="49" s="1"/>
  <c r="N247" i="49"/>
  <c r="K247" i="49"/>
  <c r="R248" i="49"/>
  <c r="S248" i="49"/>
  <c r="M248" i="49" s="1"/>
  <c r="N248" i="49"/>
  <c r="K248" i="49"/>
  <c r="O248" i="49"/>
  <c r="R249" i="49"/>
  <c r="S249" i="49" s="1"/>
  <c r="M249" i="49" s="1"/>
  <c r="K249" i="49"/>
  <c r="S250" i="49"/>
  <c r="M250" i="49" s="1"/>
  <c r="K250" i="49"/>
  <c r="S251" i="49"/>
  <c r="M251" i="49" s="1"/>
  <c r="H251" i="49" s="1"/>
  <c r="N251" i="49"/>
  <c r="K251" i="49"/>
  <c r="N252" i="49"/>
  <c r="H252" i="49" s="1"/>
  <c r="H83" i="50" s="1"/>
  <c r="K252" i="49"/>
  <c r="S254" i="49"/>
  <c r="M254" i="49" s="1"/>
  <c r="H254" i="49" s="1"/>
  <c r="B254" i="49" s="1"/>
  <c r="N254" i="49"/>
  <c r="K254" i="49"/>
  <c r="O254" i="49"/>
  <c r="S255" i="49"/>
  <c r="M255" i="49" s="1"/>
  <c r="N255" i="49"/>
  <c r="K255" i="49"/>
  <c r="O255" i="49"/>
  <c r="S256" i="49"/>
  <c r="M256" i="49" s="1"/>
  <c r="N256" i="49"/>
  <c r="K256" i="49"/>
  <c r="S257" i="49"/>
  <c r="M257" i="49" s="1"/>
  <c r="N257" i="49"/>
  <c r="K257" i="49"/>
  <c r="S258" i="49"/>
  <c r="M258" i="49" s="1"/>
  <c r="H258" i="49" s="1"/>
  <c r="N258" i="49"/>
  <c r="K258" i="49"/>
  <c r="O258" i="49"/>
  <c r="N259" i="49"/>
  <c r="K259" i="49"/>
  <c r="N260" i="49"/>
  <c r="H260" i="49" s="1"/>
  <c r="K260" i="49"/>
  <c r="O260" i="49"/>
  <c r="N262" i="49"/>
  <c r="K262" i="49"/>
  <c r="N263" i="49"/>
  <c r="K263" i="49"/>
  <c r="R264" i="49"/>
  <c r="S264" i="49" s="1"/>
  <c r="M264" i="49" s="1"/>
  <c r="N264" i="49"/>
  <c r="K264" i="49"/>
  <c r="O264" i="49"/>
  <c r="N265" i="49"/>
  <c r="K265" i="49"/>
  <c r="N266" i="49"/>
  <c r="K266" i="49"/>
  <c r="N268" i="49"/>
  <c r="K268" i="49"/>
  <c r="N269" i="49"/>
  <c r="K269" i="49"/>
  <c r="N270" i="49"/>
  <c r="K270" i="49"/>
  <c r="N271" i="49"/>
  <c r="K271" i="49"/>
  <c r="N273" i="49"/>
  <c r="K273" i="49"/>
  <c r="N274" i="49"/>
  <c r="K274" i="49"/>
  <c r="O274" i="49"/>
  <c r="N275" i="49"/>
  <c r="K275" i="49"/>
  <c r="N276" i="49"/>
  <c r="K276" i="49"/>
  <c r="K277" i="49"/>
  <c r="K278" i="49"/>
  <c r="K279" i="49"/>
  <c r="K280" i="49"/>
  <c r="K282" i="49"/>
  <c r="K283" i="49"/>
  <c r="K284" i="49"/>
  <c r="K285" i="49"/>
  <c r="S286" i="49"/>
  <c r="M286" i="49" s="1"/>
  <c r="S287" i="49"/>
  <c r="M287" i="49" s="1"/>
  <c r="S289" i="49"/>
  <c r="M289" i="49" s="1"/>
  <c r="S290" i="49"/>
  <c r="M290" i="49" s="1"/>
  <c r="S291" i="49"/>
  <c r="M291" i="49" s="1"/>
  <c r="S292" i="49"/>
  <c r="M292" i="49" s="1"/>
  <c r="S293" i="49"/>
  <c r="M293" i="49" s="1"/>
  <c r="K294" i="49"/>
  <c r="B294" i="49"/>
  <c r="B295" i="49"/>
  <c r="B297" i="49"/>
  <c r="B298" i="49"/>
  <c r="B36" i="51" s="1"/>
  <c r="B299" i="49"/>
  <c r="B300" i="49"/>
  <c r="B301" i="49"/>
  <c r="O302" i="49"/>
  <c r="B302" i="49" s="1"/>
  <c r="O303" i="49"/>
  <c r="B303" i="49" s="1"/>
  <c r="O304" i="49"/>
  <c r="B304" i="49" s="1"/>
  <c r="B42" i="51" s="1"/>
  <c r="B305" i="49"/>
  <c r="B306" i="49"/>
  <c r="B111" i="50" s="1"/>
  <c r="B307" i="49"/>
  <c r="B308" i="49"/>
  <c r="B310" i="49"/>
  <c r="B311" i="49"/>
  <c r="J38" i="49"/>
  <c r="L38" i="49"/>
  <c r="AH4" i="49"/>
  <c r="I250" i="49"/>
  <c r="L250" i="49" s="1"/>
  <c r="I129" i="49"/>
  <c r="L129" i="49" s="1"/>
  <c r="O382" i="49"/>
  <c r="O360" i="49"/>
  <c r="I360" i="49" s="1"/>
  <c r="O355" i="49"/>
  <c r="I355" i="49" s="1"/>
  <c r="I332" i="49"/>
  <c r="B396" i="49"/>
  <c r="B393" i="49"/>
  <c r="B392" i="49"/>
  <c r="B391" i="49"/>
  <c r="B389" i="49"/>
  <c r="B318" i="49"/>
  <c r="B319" i="49"/>
  <c r="B320" i="49"/>
  <c r="B321" i="49"/>
  <c r="B323" i="49" s="1"/>
  <c r="B317" i="49"/>
  <c r="B316" i="49"/>
  <c r="J386" i="49"/>
  <c r="K386" i="49"/>
  <c r="B386" i="49" s="1"/>
  <c r="H385" i="49"/>
  <c r="I385" i="49"/>
  <c r="J385" i="49"/>
  <c r="K385" i="49" s="1"/>
  <c r="J384" i="49"/>
  <c r="K384" i="49"/>
  <c r="B384" i="49" s="1"/>
  <c r="H383" i="49"/>
  <c r="I383" i="49"/>
  <c r="J383" i="49"/>
  <c r="K383" i="49" s="1"/>
  <c r="H381" i="49"/>
  <c r="I381" i="49"/>
  <c r="J379" i="49"/>
  <c r="K379" i="49" s="1"/>
  <c r="J377" i="49"/>
  <c r="K377" i="49" s="1"/>
  <c r="H375" i="49"/>
  <c r="I375" i="49"/>
  <c r="J375" i="49" s="1"/>
  <c r="H374" i="49"/>
  <c r="J374" i="49" s="1"/>
  <c r="I374" i="49"/>
  <c r="H373" i="49"/>
  <c r="J373" i="49" s="1"/>
  <c r="I373" i="49"/>
  <c r="H372" i="49"/>
  <c r="I372" i="49"/>
  <c r="J372" i="49"/>
  <c r="K372" i="49" s="1"/>
  <c r="H370" i="49"/>
  <c r="J370" i="49" s="1"/>
  <c r="I370" i="49"/>
  <c r="H369" i="49"/>
  <c r="R369" i="49"/>
  <c r="I369" i="49" s="1"/>
  <c r="O368" i="49"/>
  <c r="O367" i="49"/>
  <c r="O366" i="49"/>
  <c r="O365" i="49"/>
  <c r="I364" i="49"/>
  <c r="J364" i="49"/>
  <c r="K364" i="49" s="1"/>
  <c r="I363" i="49"/>
  <c r="J363" i="49"/>
  <c r="K363" i="49" s="1"/>
  <c r="J362" i="49"/>
  <c r="K362" i="49"/>
  <c r="B362" i="49" s="1"/>
  <c r="H359" i="49"/>
  <c r="I359" i="49"/>
  <c r="H358" i="49"/>
  <c r="I358" i="49"/>
  <c r="H357" i="49"/>
  <c r="I357" i="49"/>
  <c r="H356" i="49"/>
  <c r="I356" i="49"/>
  <c r="I354" i="49"/>
  <c r="S353" i="49"/>
  <c r="U353" i="49"/>
  <c r="R353" i="49" s="1"/>
  <c r="I353" i="49" s="1"/>
  <c r="J352" i="49"/>
  <c r="K352" i="49"/>
  <c r="B352" i="49" s="1"/>
  <c r="J350" i="49"/>
  <c r="K350" i="49" s="1"/>
  <c r="B350" i="49" s="1"/>
  <c r="J348" i="49"/>
  <c r="K348" i="49" s="1"/>
  <c r="H347" i="49"/>
  <c r="I347" i="49"/>
  <c r="H346" i="49"/>
  <c r="I346" i="49"/>
  <c r="J346" i="49"/>
  <c r="K346" i="49" s="1"/>
  <c r="J345" i="49"/>
  <c r="K345" i="49"/>
  <c r="B345" i="49" s="1"/>
  <c r="O344" i="49"/>
  <c r="I344" i="49" s="1"/>
  <c r="O343" i="49"/>
  <c r="H343" i="49" s="1"/>
  <c r="I343" i="49"/>
  <c r="O342" i="49"/>
  <c r="H342" i="49" s="1"/>
  <c r="I342" i="49"/>
  <c r="J341" i="49"/>
  <c r="K341" i="49"/>
  <c r="B341" i="49" s="1"/>
  <c r="J340" i="49"/>
  <c r="K340" i="49"/>
  <c r="B340" i="49"/>
  <c r="J339" i="49"/>
  <c r="K339" i="49" s="1"/>
  <c r="H338" i="49"/>
  <c r="J338" i="49" s="1"/>
  <c r="I338" i="49"/>
  <c r="J337" i="49"/>
  <c r="K337" i="49" s="1"/>
  <c r="J336" i="49"/>
  <c r="K336" i="49" s="1"/>
  <c r="J334" i="49"/>
  <c r="B334" i="49" s="1"/>
  <c r="K334" i="49"/>
  <c r="J333" i="49"/>
  <c r="K333" i="49" s="1"/>
  <c r="B333" i="49" s="1"/>
  <c r="H332" i="49"/>
  <c r="J331" i="49"/>
  <c r="K331" i="49"/>
  <c r="B331" i="49"/>
  <c r="J330" i="49"/>
  <c r="K330" i="49" s="1"/>
  <c r="J329" i="49"/>
  <c r="K329" i="49" s="1"/>
  <c r="Z389" i="49"/>
  <c r="Z321" i="49"/>
  <c r="Z323" i="49" s="1"/>
  <c r="Z295" i="49"/>
  <c r="R285" i="49"/>
  <c r="S285" i="49"/>
  <c r="I285" i="49"/>
  <c r="L285" i="49" s="1"/>
  <c r="R284" i="49"/>
  <c r="S284" i="49" s="1"/>
  <c r="I284" i="49"/>
  <c r="L284" i="49" s="1"/>
  <c r="R283" i="49"/>
  <c r="S283" i="49" s="1"/>
  <c r="I283" i="49"/>
  <c r="L283" i="49" s="1"/>
  <c r="R282" i="49"/>
  <c r="S282" i="49" s="1"/>
  <c r="I282" i="49"/>
  <c r="L282" i="49" s="1"/>
  <c r="R271" i="49"/>
  <c r="S271" i="49" s="1"/>
  <c r="I271" i="49"/>
  <c r="L271" i="49" s="1"/>
  <c r="R270" i="49"/>
  <c r="S270" i="49"/>
  <c r="I270" i="49"/>
  <c r="L270" i="49" s="1"/>
  <c r="R269" i="49"/>
  <c r="S269" i="49" s="1"/>
  <c r="I269" i="49"/>
  <c r="L269" i="49" s="1"/>
  <c r="R268" i="49"/>
  <c r="S268" i="49"/>
  <c r="I268" i="49"/>
  <c r="L268" i="49" s="1"/>
  <c r="I150" i="49"/>
  <c r="L150" i="49" s="1"/>
  <c r="X149" i="49"/>
  <c r="I149" i="49"/>
  <c r="L149" i="49" s="1"/>
  <c r="I148" i="49"/>
  <c r="L148" i="49" s="1"/>
  <c r="I147" i="49"/>
  <c r="L147" i="49" s="1"/>
  <c r="I156" i="49"/>
  <c r="L156" i="49" s="1"/>
  <c r="I157" i="49"/>
  <c r="L157" i="49" s="1"/>
  <c r="I158" i="49"/>
  <c r="L158" i="49" s="1"/>
  <c r="I159" i="49"/>
  <c r="L159" i="49" s="1"/>
  <c r="I164" i="49"/>
  <c r="L164" i="49" s="1"/>
  <c r="I163" i="49"/>
  <c r="L163" i="49" s="1"/>
  <c r="I162" i="49"/>
  <c r="L162" i="49" s="1"/>
  <c r="I161" i="49"/>
  <c r="L161" i="49" s="1"/>
  <c r="B60" i="54"/>
  <c r="B47" i="54"/>
  <c r="B46" i="54"/>
  <c r="B45" i="54"/>
  <c r="B44" i="54"/>
  <c r="B43" i="54"/>
  <c r="B42" i="54"/>
  <c r="B41" i="54"/>
  <c r="B40" i="54"/>
  <c r="B39" i="54"/>
  <c r="B38" i="54"/>
  <c r="B37" i="54"/>
  <c r="B36" i="54"/>
  <c r="B35" i="54"/>
  <c r="B30" i="54"/>
  <c r="B29" i="54"/>
  <c r="B21" i="54"/>
  <c r="B19" i="54"/>
  <c r="B17" i="54"/>
  <c r="B16" i="54"/>
  <c r="R44" i="49"/>
  <c r="R43" i="49"/>
  <c r="R42" i="49"/>
  <c r="R41" i="49"/>
  <c r="R36" i="49"/>
  <c r="L14" i="49"/>
  <c r="C5" i="54" s="1"/>
  <c r="B10" i="54" s="1"/>
  <c r="B1" i="54"/>
  <c r="R279" i="49"/>
  <c r="S279" i="49" s="1"/>
  <c r="I279" i="49"/>
  <c r="L279" i="49" s="1"/>
  <c r="R275" i="49"/>
  <c r="S275" i="49" s="1"/>
  <c r="I275" i="49"/>
  <c r="L275" i="49" s="1"/>
  <c r="R278" i="49"/>
  <c r="S278" i="49"/>
  <c r="I278" i="49"/>
  <c r="L278" i="49" s="1"/>
  <c r="R274" i="49"/>
  <c r="S274" i="49"/>
  <c r="I274" i="49"/>
  <c r="L274" i="49" s="1"/>
  <c r="R277" i="49"/>
  <c r="S277" i="49" s="1"/>
  <c r="I277" i="49"/>
  <c r="L277" i="49" s="1"/>
  <c r="R273" i="49"/>
  <c r="S273" i="49" s="1"/>
  <c r="I273" i="49"/>
  <c r="L273" i="49" s="1"/>
  <c r="I154" i="49"/>
  <c r="L154" i="49" s="1"/>
  <c r="I153" i="49"/>
  <c r="L153" i="49" s="1"/>
  <c r="I152" i="49"/>
  <c r="L152" i="49" s="1"/>
  <c r="R199" i="49"/>
  <c r="S199" i="49" s="1"/>
  <c r="I199" i="49"/>
  <c r="L199" i="49" s="1"/>
  <c r="R198" i="49"/>
  <c r="S198" i="49" s="1"/>
  <c r="I198" i="49"/>
  <c r="L198" i="49" s="1"/>
  <c r="R197" i="49"/>
  <c r="S197" i="49" s="1"/>
  <c r="I197" i="49"/>
  <c r="L197" i="49" s="1"/>
  <c r="R195" i="49"/>
  <c r="S195" i="49" s="1"/>
  <c r="I195" i="49"/>
  <c r="L195" i="49" s="1"/>
  <c r="R194" i="49"/>
  <c r="S194" i="49" s="1"/>
  <c r="I194" i="49"/>
  <c r="L194" i="49" s="1"/>
  <c r="R193" i="49"/>
  <c r="S193" i="49" s="1"/>
  <c r="I193" i="49"/>
  <c r="L193" i="49" s="1"/>
  <c r="R189" i="49"/>
  <c r="S189" i="49" s="1"/>
  <c r="I189" i="49"/>
  <c r="L189" i="49" s="1"/>
  <c r="R190" i="49"/>
  <c r="S190" i="49" s="1"/>
  <c r="I190" i="49"/>
  <c r="L190" i="49" s="1"/>
  <c r="R191" i="49"/>
  <c r="S191" i="49" s="1"/>
  <c r="I191" i="49"/>
  <c r="L191" i="49" s="1"/>
  <c r="I77" i="49"/>
  <c r="L77" i="49" s="1"/>
  <c r="I76" i="49"/>
  <c r="L76" i="49" s="1"/>
  <c r="I73" i="49"/>
  <c r="L73" i="49" s="1"/>
  <c r="I72" i="49"/>
  <c r="L72" i="49" s="1"/>
  <c r="I68" i="49"/>
  <c r="L68" i="49" s="1"/>
  <c r="I69" i="49"/>
  <c r="L69" i="49" s="1"/>
  <c r="I74" i="49"/>
  <c r="L74" i="49" s="1"/>
  <c r="I78" i="49"/>
  <c r="L78" i="49" s="1"/>
  <c r="I70" i="49"/>
  <c r="L70" i="49" s="1"/>
  <c r="X71" i="49"/>
  <c r="X79" i="49"/>
  <c r="X75" i="49"/>
  <c r="R200" i="49"/>
  <c r="R196" i="49"/>
  <c r="S196" i="49" s="1"/>
  <c r="R192" i="49"/>
  <c r="S192" i="49" s="1"/>
  <c r="I108" i="49"/>
  <c r="L108" i="49" s="1"/>
  <c r="I106" i="49"/>
  <c r="L106" i="49" s="1"/>
  <c r="I104" i="49"/>
  <c r="L104" i="49" s="1"/>
  <c r="T229" i="49"/>
  <c r="I229" i="49"/>
  <c r="L229" i="49" s="1"/>
  <c r="I227" i="49"/>
  <c r="L227" i="49" s="1"/>
  <c r="I225" i="49"/>
  <c r="L225" i="49" s="1"/>
  <c r="I226" i="49"/>
  <c r="L226" i="49" s="1"/>
  <c r="I224" i="49"/>
  <c r="L224" i="49" s="1"/>
  <c r="I105" i="49"/>
  <c r="L105" i="49" s="1"/>
  <c r="I103" i="49"/>
  <c r="L103" i="49" s="1"/>
  <c r="R280" i="49"/>
  <c r="S280" i="49" s="1"/>
  <c r="I280" i="49"/>
  <c r="L280" i="49" s="1"/>
  <c r="S263" i="49"/>
  <c r="I263" i="49"/>
  <c r="L263" i="49" s="1"/>
  <c r="N186" i="49"/>
  <c r="I142" i="49"/>
  <c r="L142" i="49" s="1"/>
  <c r="B17" i="51"/>
  <c r="B19" i="51"/>
  <c r="B30" i="51"/>
  <c r="B33" i="51"/>
  <c r="B35" i="51"/>
  <c r="B37" i="51"/>
  <c r="B38" i="51"/>
  <c r="B39" i="51"/>
  <c r="B43" i="51"/>
  <c r="B44" i="51"/>
  <c r="B45" i="51"/>
  <c r="B46" i="51"/>
  <c r="B47" i="51"/>
  <c r="B60" i="51"/>
  <c r="B17" i="50"/>
  <c r="B19" i="50"/>
  <c r="B63" i="50"/>
  <c r="B100" i="50"/>
  <c r="B102" i="50"/>
  <c r="B104" i="50"/>
  <c r="B105" i="50"/>
  <c r="B106" i="50"/>
  <c r="B110" i="50"/>
  <c r="B112" i="50"/>
  <c r="B113" i="50"/>
  <c r="B114" i="50"/>
  <c r="B127" i="50"/>
  <c r="B118" i="50"/>
  <c r="H35" i="50"/>
  <c r="R276" i="49"/>
  <c r="I257" i="49"/>
  <c r="L257" i="49" s="1"/>
  <c r="I256" i="49"/>
  <c r="L256" i="49" s="1"/>
  <c r="I136" i="49"/>
  <c r="L136" i="49" s="1"/>
  <c r="I135" i="49"/>
  <c r="L135" i="49" s="1"/>
  <c r="S259" i="49"/>
  <c r="I259" i="49"/>
  <c r="L259" i="49" s="1"/>
  <c r="X10" i="49"/>
  <c r="X11" i="49" s="1"/>
  <c r="I138" i="49"/>
  <c r="L138" i="49" s="1"/>
  <c r="S32" i="49"/>
  <c r="L35" i="49"/>
  <c r="I131" i="49"/>
  <c r="B10" i="49"/>
  <c r="B11" i="49"/>
  <c r="B12" i="49"/>
  <c r="B13" i="49"/>
  <c r="B9" i="49"/>
  <c r="R373" i="49"/>
  <c r="R372" i="49"/>
  <c r="R370" i="49"/>
  <c r="S244" i="49"/>
  <c r="I244" i="49"/>
  <c r="L244" i="49" s="1"/>
  <c r="S67" i="49"/>
  <c r="M67" i="49" s="1"/>
  <c r="S101" i="49"/>
  <c r="M101" i="49"/>
  <c r="N185" i="49"/>
  <c r="N202" i="49"/>
  <c r="N203" i="49"/>
  <c r="N204" i="49"/>
  <c r="N206" i="49"/>
  <c r="N207" i="49"/>
  <c r="N208" i="49"/>
  <c r="N209" i="49"/>
  <c r="N210" i="49"/>
  <c r="N211" i="49"/>
  <c r="N212" i="49"/>
  <c r="N213" i="49"/>
  <c r="N214" i="49"/>
  <c r="N215" i="49"/>
  <c r="N216" i="49"/>
  <c r="N217" i="49"/>
  <c r="N218" i="49"/>
  <c r="N219" i="49"/>
  <c r="N220" i="49"/>
  <c r="T228" i="49"/>
  <c r="T233" i="49" s="1"/>
  <c r="M222" i="49" s="1"/>
  <c r="N222" i="49"/>
  <c r="I123" i="49"/>
  <c r="L123" i="49" s="1"/>
  <c r="I134" i="49"/>
  <c r="L134" i="49" s="1"/>
  <c r="I137" i="49"/>
  <c r="L137" i="49" s="1"/>
  <c r="I139" i="49"/>
  <c r="L139" i="49"/>
  <c r="I141" i="49"/>
  <c r="L141" i="49" s="1"/>
  <c r="S141" i="49"/>
  <c r="I155" i="49"/>
  <c r="L155" i="49" s="1"/>
  <c r="I143" i="49"/>
  <c r="L143" i="49" s="1"/>
  <c r="I144" i="49"/>
  <c r="L144" i="49" s="1"/>
  <c r="S144" i="49"/>
  <c r="I145" i="49"/>
  <c r="L145" i="49" s="1"/>
  <c r="S145" i="49"/>
  <c r="L166" i="49"/>
  <c r="S166" i="49"/>
  <c r="L167" i="49"/>
  <c r="S167" i="49"/>
  <c r="L168" i="49"/>
  <c r="S168" i="49"/>
  <c r="I171" i="49"/>
  <c r="L171" i="49"/>
  <c r="S171" i="49"/>
  <c r="I172" i="49"/>
  <c r="L172" i="49" s="1"/>
  <c r="S172" i="49"/>
  <c r="I173" i="49"/>
  <c r="L173" i="49" s="1"/>
  <c r="S173" i="49"/>
  <c r="L174" i="49"/>
  <c r="S174" i="49"/>
  <c r="I176" i="49"/>
  <c r="L176" i="49" s="1"/>
  <c r="S176" i="49"/>
  <c r="I177" i="49"/>
  <c r="L177" i="49" s="1"/>
  <c r="S177" i="49"/>
  <c r="I178" i="49"/>
  <c r="L178" i="49" s="1"/>
  <c r="S178" i="49"/>
  <c r="I179" i="49"/>
  <c r="L179" i="49" s="1"/>
  <c r="S179" i="49"/>
  <c r="I180" i="49"/>
  <c r="L180" i="49" s="1"/>
  <c r="S180" i="49"/>
  <c r="I181" i="49"/>
  <c r="L181" i="49" s="1"/>
  <c r="S181" i="49"/>
  <c r="I182" i="49"/>
  <c r="L182" i="49" s="1"/>
  <c r="S182" i="49"/>
  <c r="I183" i="49"/>
  <c r="L183" i="49" s="1"/>
  <c r="S183" i="49"/>
  <c r="I185" i="49"/>
  <c r="L185" i="49" s="1"/>
  <c r="S185" i="49"/>
  <c r="I186" i="49"/>
  <c r="L186" i="49" s="1"/>
  <c r="S186" i="49"/>
  <c r="I187" i="49"/>
  <c r="L187" i="49" s="1"/>
  <c r="S187" i="49"/>
  <c r="I188" i="49"/>
  <c r="L188" i="49" s="1"/>
  <c r="I192" i="49"/>
  <c r="L192" i="49" s="1"/>
  <c r="I196" i="49"/>
  <c r="L196" i="49" s="1"/>
  <c r="I200" i="49"/>
  <c r="L200" i="49" s="1"/>
  <c r="S200" i="49"/>
  <c r="I201" i="49"/>
  <c r="L201" i="49" s="1"/>
  <c r="I202" i="49"/>
  <c r="L202" i="49" s="1"/>
  <c r="S202" i="49"/>
  <c r="I203" i="49"/>
  <c r="L203" i="49" s="1"/>
  <c r="S203" i="49"/>
  <c r="I204" i="49"/>
  <c r="L204" i="49" s="1"/>
  <c r="S204" i="49"/>
  <c r="I206" i="49"/>
  <c r="L206" i="49" s="1"/>
  <c r="S206" i="49"/>
  <c r="I207" i="49"/>
  <c r="L207" i="49" s="1"/>
  <c r="S207" i="49"/>
  <c r="I208" i="49"/>
  <c r="L208" i="49" s="1"/>
  <c r="S208" i="49"/>
  <c r="I209" i="49"/>
  <c r="L209" i="49" s="1"/>
  <c r="S209" i="49"/>
  <c r="I210" i="49"/>
  <c r="L210" i="49" s="1"/>
  <c r="S210" i="49"/>
  <c r="I211" i="49"/>
  <c r="L211" i="49" s="1"/>
  <c r="S211" i="49"/>
  <c r="I212" i="49"/>
  <c r="L212" i="49" s="1"/>
  <c r="S212" i="49"/>
  <c r="I213" i="49"/>
  <c r="L213" i="49" s="1"/>
  <c r="S213" i="49"/>
  <c r="I214" i="49"/>
  <c r="L214" i="49" s="1"/>
  <c r="S214" i="49"/>
  <c r="I215" i="49"/>
  <c r="L215" i="49" s="1"/>
  <c r="S215" i="49"/>
  <c r="I216" i="49"/>
  <c r="L216" i="49" s="1"/>
  <c r="S216" i="49"/>
  <c r="I217" i="49"/>
  <c r="L217" i="49" s="1"/>
  <c r="S217" i="49"/>
  <c r="I218" i="49"/>
  <c r="L218" i="49" s="1"/>
  <c r="S218" i="49"/>
  <c r="I219" i="49"/>
  <c r="L219" i="49" s="1"/>
  <c r="S219" i="49"/>
  <c r="I220" i="49"/>
  <c r="L220" i="49" s="1"/>
  <c r="S220" i="49"/>
  <c r="I222" i="49"/>
  <c r="L222" i="49" s="1"/>
  <c r="I223" i="49"/>
  <c r="L223" i="49" s="1"/>
  <c r="S223" i="49"/>
  <c r="I228" i="49"/>
  <c r="L228" i="49" s="1"/>
  <c r="I230" i="49"/>
  <c r="L230" i="49" s="1"/>
  <c r="I231" i="49"/>
  <c r="L231" i="49" s="1"/>
  <c r="S231" i="49"/>
  <c r="I232" i="49"/>
  <c r="L232" i="49" s="1"/>
  <c r="I233" i="49"/>
  <c r="L233" i="49" s="1"/>
  <c r="S233" i="49"/>
  <c r="I234" i="49"/>
  <c r="L234" i="49" s="1"/>
  <c r="I235" i="49"/>
  <c r="L235" i="49" s="1"/>
  <c r="S235" i="49"/>
  <c r="I236" i="49"/>
  <c r="L236" i="49" s="1"/>
  <c r="S236" i="49"/>
  <c r="I237" i="49"/>
  <c r="L237" i="49" s="1"/>
  <c r="S237" i="49"/>
  <c r="I238" i="49"/>
  <c r="L238" i="49" s="1"/>
  <c r="S238" i="49"/>
  <c r="I239" i="49"/>
  <c r="L239" i="49" s="1"/>
  <c r="S239" i="49"/>
  <c r="I240" i="49"/>
  <c r="L240" i="49" s="1"/>
  <c r="S240" i="49"/>
  <c r="I241" i="49"/>
  <c r="L241" i="49" s="1"/>
  <c r="S241" i="49"/>
  <c r="I242" i="49"/>
  <c r="L242" i="49" s="1"/>
  <c r="S242" i="49"/>
  <c r="I243" i="49"/>
  <c r="L243" i="49" s="1"/>
  <c r="I118" i="49"/>
  <c r="L118" i="49" s="1"/>
  <c r="M294" i="49"/>
  <c r="L294" i="49"/>
  <c r="L286" i="49"/>
  <c r="I249" i="49"/>
  <c r="L249" i="49" s="1"/>
  <c r="S245" i="49"/>
  <c r="I245" i="49"/>
  <c r="L245" i="49" s="1"/>
  <c r="S276" i="49"/>
  <c r="I276" i="49"/>
  <c r="L276" i="49" s="1"/>
  <c r="R128" i="49"/>
  <c r="S128" i="49"/>
  <c r="I128" i="49"/>
  <c r="L128" i="49" s="1"/>
  <c r="L31" i="49"/>
  <c r="L30" i="49"/>
  <c r="L29" i="49"/>
  <c r="I79" i="49"/>
  <c r="L79" i="49" s="1"/>
  <c r="I75" i="49"/>
  <c r="L75" i="49" s="1"/>
  <c r="I71" i="49"/>
  <c r="L71" i="49" s="1"/>
  <c r="P58" i="49"/>
  <c r="I58" i="49"/>
  <c r="L58" i="49" s="1"/>
  <c r="I56" i="49"/>
  <c r="L56" i="49" s="1"/>
  <c r="M295" i="49"/>
  <c r="I55" i="49"/>
  <c r="L55" i="49" s="1"/>
  <c r="I124" i="49"/>
  <c r="L124" i="49" s="1"/>
  <c r="I116" i="49"/>
  <c r="L116" i="49" s="1"/>
  <c r="S12" i="49"/>
  <c r="S51" i="49"/>
  <c r="M45" i="49"/>
  <c r="M44" i="49"/>
  <c r="M42" i="49"/>
  <c r="M43" i="49"/>
  <c r="M41" i="49"/>
  <c r="J45" i="49"/>
  <c r="Y47" i="49"/>
  <c r="Y49" i="49"/>
  <c r="Y50" i="49"/>
  <c r="W51" i="49"/>
  <c r="Y51" i="49"/>
  <c r="Y54" i="49"/>
  <c r="F6" i="49"/>
  <c r="K414" i="49"/>
  <c r="M414" i="49"/>
  <c r="K415" i="49"/>
  <c r="M415" i="49"/>
  <c r="D6" i="49"/>
  <c r="L393" i="49"/>
  <c r="AC4" i="49"/>
  <c r="L51" i="49"/>
  <c r="R50" i="49"/>
  <c r="L50" i="49"/>
  <c r="L47" i="49"/>
  <c r="L39" i="49"/>
  <c r="I107" i="49"/>
  <c r="L107" i="49"/>
  <c r="I102" i="49"/>
  <c r="L102" i="49" s="1"/>
  <c r="I66" i="49"/>
  <c r="L66" i="49" s="1"/>
  <c r="I65" i="49"/>
  <c r="L65" i="49" s="1"/>
  <c r="Q61" i="49"/>
  <c r="P61" i="49"/>
  <c r="I61" i="49"/>
  <c r="L61" i="49" s="1"/>
  <c r="P60" i="49"/>
  <c r="Q60" i="49"/>
  <c r="B8" i="49"/>
  <c r="B1" i="51"/>
  <c r="H73" i="50"/>
  <c r="H47" i="50"/>
  <c r="H37" i="50"/>
  <c r="H71" i="50"/>
  <c r="S265" i="49"/>
  <c r="I265" i="49"/>
  <c r="L265" i="49" s="1"/>
  <c r="B1" i="50"/>
  <c r="S301" i="49"/>
  <c r="S300" i="49"/>
  <c r="S299" i="49"/>
  <c r="S298" i="49"/>
  <c r="S297" i="49"/>
  <c r="S303" i="49"/>
  <c r="S308" i="49"/>
  <c r="S307" i="49"/>
  <c r="S306" i="49"/>
  <c r="S305" i="49"/>
  <c r="S311" i="49"/>
  <c r="S310" i="49"/>
  <c r="S321" i="49"/>
  <c r="S320" i="49"/>
  <c r="S319" i="49"/>
  <c r="S318" i="49"/>
  <c r="S317" i="49"/>
  <c r="S316" i="49"/>
  <c r="S266" i="49"/>
  <c r="S262" i="49"/>
  <c r="S260" i="49"/>
  <c r="S252" i="49"/>
  <c r="S246" i="49"/>
  <c r="R37" i="49"/>
  <c r="R33" i="49"/>
  <c r="R28" i="49"/>
  <c r="R26" i="49"/>
  <c r="R25" i="49"/>
  <c r="R24" i="49"/>
  <c r="R23" i="49"/>
  <c r="R22" i="49"/>
  <c r="R21" i="49"/>
  <c r="R53" i="49"/>
  <c r="L397" i="49"/>
  <c r="L396" i="49"/>
  <c r="L394" i="49"/>
  <c r="L392" i="49"/>
  <c r="L391" i="49"/>
  <c r="L389" i="49"/>
  <c r="L321" i="49"/>
  <c r="L320" i="49"/>
  <c r="L319" i="49"/>
  <c r="L318" i="49"/>
  <c r="L317" i="49"/>
  <c r="L316" i="49"/>
  <c r="Z311" i="49"/>
  <c r="L311" i="49"/>
  <c r="L310" i="49"/>
  <c r="L308" i="49"/>
  <c r="L307" i="49"/>
  <c r="L306" i="49"/>
  <c r="L305" i="49"/>
  <c r="L304" i="49"/>
  <c r="L303" i="49"/>
  <c r="L302" i="49"/>
  <c r="L301" i="49"/>
  <c r="L300" i="49"/>
  <c r="L299" i="49"/>
  <c r="L298" i="49"/>
  <c r="L297" i="49"/>
  <c r="L295" i="49"/>
  <c r="L293" i="49"/>
  <c r="L292" i="49"/>
  <c r="L291" i="49"/>
  <c r="L290" i="49"/>
  <c r="L289" i="49"/>
  <c r="L287" i="49"/>
  <c r="I266" i="49"/>
  <c r="L266" i="49" s="1"/>
  <c r="I264" i="49"/>
  <c r="L264" i="49" s="1"/>
  <c r="I262" i="49"/>
  <c r="L262" i="49" s="1"/>
  <c r="I260" i="49"/>
  <c r="L260" i="49" s="1"/>
  <c r="I258" i="49"/>
  <c r="L258" i="49" s="1"/>
  <c r="I255" i="49"/>
  <c r="L255" i="49" s="1"/>
  <c r="I254" i="49"/>
  <c r="L254" i="49" s="1"/>
  <c r="I252" i="49"/>
  <c r="L252" i="49" s="1"/>
  <c r="I251" i="49"/>
  <c r="L251" i="49" s="1"/>
  <c r="I248" i="49"/>
  <c r="L248" i="49" s="1"/>
  <c r="I247" i="49"/>
  <c r="L247" i="49" s="1"/>
  <c r="I246" i="49"/>
  <c r="L246" i="49" s="1"/>
  <c r="I133" i="49"/>
  <c r="L133" i="49" s="1"/>
  <c r="L131" i="49"/>
  <c r="I130" i="49"/>
  <c r="L130" i="49" s="1"/>
  <c r="I127" i="49"/>
  <c r="L127" i="49" s="1"/>
  <c r="I126" i="49"/>
  <c r="L126" i="49" s="1"/>
  <c r="I125" i="49"/>
  <c r="L125" i="49" s="1"/>
  <c r="I122" i="49"/>
  <c r="L122" i="49" s="1"/>
  <c r="I121" i="49"/>
  <c r="L121" i="49" s="1"/>
  <c r="I120" i="49"/>
  <c r="L120" i="49" s="1"/>
  <c r="I119" i="49"/>
  <c r="L119" i="49" s="1"/>
  <c r="I117" i="49"/>
  <c r="L117" i="49" s="1"/>
  <c r="I115" i="49"/>
  <c r="L115" i="49" s="1"/>
  <c r="I114" i="49"/>
  <c r="L114" i="49" s="1"/>
  <c r="I113" i="49"/>
  <c r="L113" i="49" s="1"/>
  <c r="I112" i="49"/>
  <c r="L112" i="49" s="1"/>
  <c r="I111" i="49"/>
  <c r="L111" i="49" s="1"/>
  <c r="I110" i="49"/>
  <c r="L110" i="49" s="1"/>
  <c r="I109" i="49"/>
  <c r="L109" i="49" s="1"/>
  <c r="I101" i="49"/>
  <c r="L101" i="49" s="1"/>
  <c r="I99" i="49"/>
  <c r="L99" i="49"/>
  <c r="I98" i="49"/>
  <c r="L98" i="49"/>
  <c r="I97" i="49"/>
  <c r="L97" i="49" s="1"/>
  <c r="I96" i="49"/>
  <c r="L96" i="49" s="1"/>
  <c r="I95" i="49"/>
  <c r="L95" i="49" s="1"/>
  <c r="I94" i="49"/>
  <c r="L94" i="49" s="1"/>
  <c r="I93" i="49"/>
  <c r="L93" i="49" s="1"/>
  <c r="I92" i="49"/>
  <c r="L92" i="49" s="1"/>
  <c r="I91" i="49"/>
  <c r="L91" i="49" s="1"/>
  <c r="I90" i="49"/>
  <c r="L90" i="49" s="1"/>
  <c r="I89" i="49"/>
  <c r="L89" i="49" s="1"/>
  <c r="I88" i="49"/>
  <c r="L88" i="49" s="1"/>
  <c r="I87" i="49"/>
  <c r="L87" i="49"/>
  <c r="I86" i="49"/>
  <c r="L86" i="49"/>
  <c r="I85" i="49"/>
  <c r="L85" i="49"/>
  <c r="I83" i="49"/>
  <c r="L83" i="49" s="1"/>
  <c r="I82" i="49"/>
  <c r="L82" i="49" s="1"/>
  <c r="I81" i="49"/>
  <c r="L81" i="49" s="1"/>
  <c r="I80" i="49"/>
  <c r="L80" i="49" s="1"/>
  <c r="I67" i="49"/>
  <c r="L67" i="49" s="1"/>
  <c r="I64" i="49"/>
  <c r="L64" i="49" s="1"/>
  <c r="I62" i="49"/>
  <c r="L62" i="49" s="1"/>
  <c r="I60" i="49"/>
  <c r="L60" i="49" s="1"/>
  <c r="P59" i="49"/>
  <c r="I59" i="49"/>
  <c r="L59" i="49" s="1"/>
  <c r="I57" i="49"/>
  <c r="L57" i="49" s="1"/>
  <c r="L53" i="49"/>
  <c r="R45" i="49"/>
  <c r="L45" i="49"/>
  <c r="L44" i="49"/>
  <c r="L43" i="49"/>
  <c r="L42" i="49"/>
  <c r="L41" i="49"/>
  <c r="L37" i="49"/>
  <c r="L36" i="49"/>
  <c r="L33" i="49"/>
  <c r="L32" i="49"/>
  <c r="L28" i="49"/>
  <c r="L26" i="49"/>
  <c r="L25" i="49"/>
  <c r="L24" i="49"/>
  <c r="L23" i="49"/>
  <c r="L22" i="49"/>
  <c r="L21" i="49"/>
  <c r="J9" i="49"/>
  <c r="J10" i="49"/>
  <c r="J14" i="49" s="1"/>
  <c r="J11" i="49"/>
  <c r="J12" i="49"/>
  <c r="J13" i="49"/>
  <c r="M13" i="49"/>
  <c r="M12" i="49"/>
  <c r="M11" i="49"/>
  <c r="M10" i="49"/>
  <c r="M9" i="49"/>
  <c r="H255" i="49" l="1"/>
  <c r="B255" i="49" s="1"/>
  <c r="B85" i="50" s="1"/>
  <c r="H41" i="50"/>
  <c r="B204" i="49"/>
  <c r="H201" i="49"/>
  <c r="H42" i="50"/>
  <c r="H257" i="49"/>
  <c r="H230" i="49"/>
  <c r="H76" i="50" s="1"/>
  <c r="H256" i="49"/>
  <c r="B256" i="49" s="1"/>
  <c r="H248" i="49"/>
  <c r="B202" i="49"/>
  <c r="B258" i="49"/>
  <c r="B86" i="50" s="1"/>
  <c r="B260" i="49"/>
  <c r="B88" i="50" s="1"/>
  <c r="H88" i="50"/>
  <c r="K374" i="49"/>
  <c r="B374" i="49" s="1"/>
  <c r="R163" i="49"/>
  <c r="S163" i="49" s="1"/>
  <c r="M163" i="49" s="1"/>
  <c r="X163" i="49"/>
  <c r="R156" i="49"/>
  <c r="S156" i="49" s="1"/>
  <c r="M156" i="49" s="1"/>
  <c r="X156" i="49"/>
  <c r="K370" i="49"/>
  <c r="B370" i="49" s="1"/>
  <c r="K375" i="49"/>
  <c r="B375" i="49" s="1"/>
  <c r="B338" i="49"/>
  <c r="K338" i="49"/>
  <c r="R157" i="49"/>
  <c r="S157" i="49" s="1"/>
  <c r="M157" i="49" s="1"/>
  <c r="X157" i="49"/>
  <c r="R68" i="49"/>
  <c r="S68" i="49" s="1"/>
  <c r="M68" i="49" s="1"/>
  <c r="X68" i="49"/>
  <c r="X152" i="49"/>
  <c r="R152" i="49"/>
  <c r="S152" i="49" s="1"/>
  <c r="M152" i="49" s="1"/>
  <c r="R147" i="49"/>
  <c r="S147" i="49" s="1"/>
  <c r="M147" i="49" s="1"/>
  <c r="X147" i="49"/>
  <c r="T107" i="49"/>
  <c r="T108" i="49"/>
  <c r="W108" i="49" s="1"/>
  <c r="X108" i="49" s="1"/>
  <c r="M108" i="49" s="1"/>
  <c r="S36" i="49"/>
  <c r="H36" i="49" s="1"/>
  <c r="B23" i="54" s="1"/>
  <c r="R122" i="49"/>
  <c r="S122" i="49" s="1"/>
  <c r="M122" i="49" s="1"/>
  <c r="H122" i="49" s="1"/>
  <c r="R121" i="49"/>
  <c r="S121" i="49" s="1"/>
  <c r="M121" i="49" s="1"/>
  <c r="H121" i="49" s="1"/>
  <c r="R148" i="49"/>
  <c r="S148" i="49" s="1"/>
  <c r="M148" i="49" s="1"/>
  <c r="X148" i="49"/>
  <c r="R77" i="49"/>
  <c r="S77" i="49" s="1"/>
  <c r="M77" i="49" s="1"/>
  <c r="X77" i="49"/>
  <c r="X154" i="49"/>
  <c r="R154" i="49"/>
  <c r="S154" i="49" s="1"/>
  <c r="M154" i="49" s="1"/>
  <c r="X78" i="49"/>
  <c r="R78" i="49"/>
  <c r="S78" i="49" s="1"/>
  <c r="M78" i="49" s="1"/>
  <c r="R74" i="49"/>
  <c r="S74" i="49" s="1"/>
  <c r="M74" i="49" s="1"/>
  <c r="X74" i="49"/>
  <c r="R222" i="49"/>
  <c r="S222" i="49" s="1"/>
  <c r="R164" i="49"/>
  <c r="S164" i="49" s="1"/>
  <c r="X164" i="49"/>
  <c r="M164" i="49" s="1"/>
  <c r="R162" i="49"/>
  <c r="S162" i="49" s="1"/>
  <c r="M162" i="49" s="1"/>
  <c r="X162" i="49"/>
  <c r="X155" i="49"/>
  <c r="M155" i="49" s="1"/>
  <c r="R155" i="49"/>
  <c r="S155" i="49" s="1"/>
  <c r="R150" i="49"/>
  <c r="S150" i="49" s="1"/>
  <c r="X150" i="49"/>
  <c r="M150" i="49" s="1"/>
  <c r="R69" i="49"/>
  <c r="S69" i="49" s="1"/>
  <c r="M69" i="49" s="1"/>
  <c r="X69" i="49"/>
  <c r="B373" i="49"/>
  <c r="K373" i="49"/>
  <c r="R76" i="49"/>
  <c r="S76" i="49" s="1"/>
  <c r="M76" i="49" s="1"/>
  <c r="X76" i="49"/>
  <c r="B29" i="51"/>
  <c r="X73" i="49"/>
  <c r="X153" i="49"/>
  <c r="B51" i="54"/>
  <c r="X158" i="49"/>
  <c r="J343" i="49"/>
  <c r="K343" i="49" s="1"/>
  <c r="B343" i="49" s="1"/>
  <c r="B379" i="49"/>
  <c r="Z26" i="49"/>
  <c r="B103" i="50"/>
  <c r="C5" i="51"/>
  <c r="B10" i="51" s="1"/>
  <c r="B21" i="51"/>
  <c r="B329" i="49"/>
  <c r="B336" i="49"/>
  <c r="B364" i="49"/>
  <c r="B372" i="49"/>
  <c r="B36" i="49"/>
  <c r="B51" i="51"/>
  <c r="X70" i="49"/>
  <c r="H77" i="50"/>
  <c r="H247" i="49"/>
  <c r="B44" i="49"/>
  <c r="V10" i="49"/>
  <c r="V9" i="49"/>
  <c r="AA9" i="49"/>
  <c r="V11" i="49"/>
  <c r="V16" i="49"/>
  <c r="V15" i="49"/>
  <c r="V17" i="49" s="1"/>
  <c r="B330" i="49"/>
  <c r="B337" i="49"/>
  <c r="B339" i="49"/>
  <c r="B348" i="49"/>
  <c r="B177" i="49"/>
  <c r="B55" i="49"/>
  <c r="B346" i="49"/>
  <c r="B363" i="49"/>
  <c r="B377" i="49"/>
  <c r="B383" i="49"/>
  <c r="B385" i="49"/>
  <c r="B41" i="49"/>
  <c r="B45" i="49"/>
  <c r="C5" i="50"/>
  <c r="B10" i="50" s="1"/>
  <c r="R142" i="49"/>
  <c r="S142" i="49" s="1"/>
  <c r="X72" i="49"/>
  <c r="X161" i="49"/>
  <c r="R159" i="49"/>
  <c r="S159" i="49" s="1"/>
  <c r="B211" i="49"/>
  <c r="B246" i="49"/>
  <c r="B42" i="49"/>
  <c r="B134" i="49"/>
  <c r="H78" i="50"/>
  <c r="H86" i="50"/>
  <c r="B16" i="50"/>
  <c r="B213" i="49"/>
  <c r="B183" i="49"/>
  <c r="B69" i="50" s="1"/>
  <c r="B234" i="49"/>
  <c r="B216" i="49"/>
  <c r="B208" i="49"/>
  <c r="B133" i="49"/>
  <c r="B16" i="51"/>
  <c r="B257" i="49"/>
  <c r="B248" i="49"/>
  <c r="B60" i="49"/>
  <c r="B230" i="49"/>
  <c r="B238" i="49"/>
  <c r="B43" i="49"/>
  <c r="B219" i="49"/>
  <c r="B188" i="49"/>
  <c r="B143" i="49"/>
  <c r="B56" i="50" s="1"/>
  <c r="B137" i="49"/>
  <c r="B50" i="50" s="1"/>
  <c r="B185" i="49"/>
  <c r="B125" i="49"/>
  <c r="B115" i="49"/>
  <c r="B113" i="49"/>
  <c r="B111" i="49"/>
  <c r="B101" i="49"/>
  <c r="B37" i="50" s="1"/>
  <c r="B127" i="49"/>
  <c r="B98" i="49"/>
  <c r="B94" i="49"/>
  <c r="B90" i="49"/>
  <c r="B86" i="49"/>
  <c r="B119" i="49"/>
  <c r="B110" i="49"/>
  <c r="B97" i="49"/>
  <c r="B121" i="49"/>
  <c r="B114" i="49"/>
  <c r="B112" i="49"/>
  <c r="B93" i="49"/>
  <c r="B89" i="49"/>
  <c r="B85" i="49"/>
  <c r="B80" i="49"/>
  <c r="B58" i="49"/>
  <c r="B131" i="49"/>
  <c r="B47" i="50" s="1"/>
  <c r="B122" i="49"/>
  <c r="B96" i="49"/>
  <c r="B88" i="49"/>
  <c r="B67" i="49"/>
  <c r="B130" i="49"/>
  <c r="B126" i="49"/>
  <c r="B99" i="49"/>
  <c r="B91" i="49"/>
  <c r="B64" i="49"/>
  <c r="B38" i="49"/>
  <c r="O240" i="49"/>
  <c r="B240" i="49" s="1"/>
  <c r="O231" i="49"/>
  <c r="B231" i="49" s="1"/>
  <c r="B109" i="49"/>
  <c r="O236" i="49"/>
  <c r="B236" i="49" s="1"/>
  <c r="J332" i="49"/>
  <c r="K332" i="49" s="1"/>
  <c r="B332" i="49" s="1"/>
  <c r="H360" i="49"/>
  <c r="O243" i="49"/>
  <c r="B243" i="49" s="1"/>
  <c r="O218" i="49"/>
  <c r="B218" i="49" s="1"/>
  <c r="B109" i="50"/>
  <c r="J342" i="49"/>
  <c r="K342" i="49" s="1"/>
  <c r="B342" i="49" s="1"/>
  <c r="O241" i="49"/>
  <c r="B241" i="49" s="1"/>
  <c r="O210" i="49"/>
  <c r="B210" i="49" s="1"/>
  <c r="O222" i="49"/>
  <c r="B222" i="49" s="1"/>
  <c r="B73" i="50" s="1"/>
  <c r="O201" i="49"/>
  <c r="B201" i="49" s="1"/>
  <c r="J347" i="49"/>
  <c r="K347" i="49" s="1"/>
  <c r="B347" i="49" s="1"/>
  <c r="J356" i="49"/>
  <c r="K356" i="49" s="1"/>
  <c r="B356" i="49" s="1"/>
  <c r="O206" i="49"/>
  <c r="B206" i="49" s="1"/>
  <c r="O251" i="49"/>
  <c r="B251" i="49" s="1"/>
  <c r="O217" i="49"/>
  <c r="B217" i="49" s="1"/>
  <c r="O212" i="49"/>
  <c r="B212" i="49" s="1"/>
  <c r="O209" i="49"/>
  <c r="B209" i="49" s="1"/>
  <c r="J369" i="49"/>
  <c r="K369" i="49" s="1"/>
  <c r="B369" i="49" s="1"/>
  <c r="O233" i="49"/>
  <c r="B233" i="49" s="1"/>
  <c r="O214" i="49"/>
  <c r="B214" i="49" s="1"/>
  <c r="J359" i="49"/>
  <c r="K359" i="49" s="1"/>
  <c r="B359" i="49" s="1"/>
  <c r="O242" i="49"/>
  <c r="B242" i="49" s="1"/>
  <c r="B92" i="49"/>
  <c r="O252" i="49"/>
  <c r="B252" i="49" s="1"/>
  <c r="B83" i="50" s="1"/>
  <c r="O207" i="49"/>
  <c r="B207" i="49" s="1"/>
  <c r="O181" i="49"/>
  <c r="B181" i="49" s="1"/>
  <c r="O179" i="49"/>
  <c r="B179" i="49" s="1"/>
  <c r="B117" i="49"/>
  <c r="O220" i="49"/>
  <c r="B220" i="49" s="1"/>
  <c r="J357" i="49"/>
  <c r="K357" i="49" s="1"/>
  <c r="B357" i="49" s="1"/>
  <c r="J381" i="49"/>
  <c r="K381" i="49" s="1"/>
  <c r="J358" i="49"/>
  <c r="O247" i="49"/>
  <c r="H344" i="49"/>
  <c r="J344" i="49" s="1"/>
  <c r="H355" i="49"/>
  <c r="J355" i="49" s="1"/>
  <c r="K355" i="49" s="1"/>
  <c r="O232" i="49"/>
  <c r="B232" i="49" s="1"/>
  <c r="B55" i="54"/>
  <c r="J401" i="49"/>
  <c r="R398" i="49"/>
  <c r="H398" i="49" s="1"/>
  <c r="B108" i="50"/>
  <c r="B41" i="51"/>
  <c r="B40" i="51"/>
  <c r="B107" i="50"/>
  <c r="Z308" i="49"/>
  <c r="Z36" i="49"/>
  <c r="B23" i="51"/>
  <c r="B23" i="50"/>
  <c r="O235" i="49"/>
  <c r="B235" i="49" s="1"/>
  <c r="B95" i="49"/>
  <c r="B87" i="49"/>
  <c r="B65" i="49"/>
  <c r="B186" i="49"/>
  <c r="R47" i="49"/>
  <c r="U9" i="49"/>
  <c r="U16" i="49"/>
  <c r="H51" i="49" s="1"/>
  <c r="B51" i="49" s="1"/>
  <c r="R4" i="49"/>
  <c r="H1" i="49" s="1"/>
  <c r="AJ4" i="49"/>
  <c r="AF12" i="49"/>
  <c r="AF11" i="49"/>
  <c r="U15" i="49"/>
  <c r="H39" i="49" s="1"/>
  <c r="B24" i="54" s="1"/>
  <c r="U11" i="49"/>
  <c r="AF10" i="49"/>
  <c r="Z10" i="49"/>
  <c r="Z11" i="49" s="1"/>
  <c r="U10" i="49"/>
  <c r="AF9" i="49"/>
  <c r="U110" i="57"/>
  <c r="H85" i="50" l="1"/>
  <c r="B247" i="49"/>
  <c r="B42" i="50"/>
  <c r="B53" i="49"/>
  <c r="B27" i="51" s="1"/>
  <c r="H48" i="49"/>
  <c r="H120" i="49"/>
  <c r="B120" i="49" s="1"/>
  <c r="B27" i="50"/>
  <c r="T103" i="49"/>
  <c r="W103" i="49" s="1"/>
  <c r="X103" i="49" s="1"/>
  <c r="M103" i="49" s="1"/>
  <c r="T105" i="49"/>
  <c r="W105" i="49" s="1"/>
  <c r="X105" i="49" s="1"/>
  <c r="M105" i="49" s="1"/>
  <c r="W107" i="49"/>
  <c r="X107" i="49" s="1"/>
  <c r="M107" i="49" s="1"/>
  <c r="AA10" i="49"/>
  <c r="AA11" i="49" s="1"/>
  <c r="V12" i="49"/>
  <c r="B40" i="50"/>
  <c r="B76" i="50"/>
  <c r="B41" i="50"/>
  <c r="J360" i="49"/>
  <c r="K360" i="49" s="1"/>
  <c r="B360" i="49" s="1"/>
  <c r="B78" i="50"/>
  <c r="B77" i="50"/>
  <c r="B35" i="50"/>
  <c r="K358" i="49"/>
  <c r="B358" i="49" s="1"/>
  <c r="B71" i="50"/>
  <c r="B381" i="49"/>
  <c r="B355" i="49"/>
  <c r="K344" i="49"/>
  <c r="B344" i="49" s="1"/>
  <c r="B55" i="51"/>
  <c r="B122" i="50"/>
  <c r="Z334" i="49"/>
  <c r="H118" i="49"/>
  <c r="M118" i="49" s="1"/>
  <c r="H29" i="49"/>
  <c r="H30" i="49"/>
  <c r="H31" i="49"/>
  <c r="B39" i="49"/>
  <c r="AF15" i="49"/>
  <c r="AF16" i="49"/>
  <c r="AF17" i="49"/>
  <c r="H116" i="49"/>
  <c r="H155" i="49"/>
  <c r="B155" i="49" s="1"/>
  <c r="H162" i="49"/>
  <c r="B162" i="49" s="1"/>
  <c r="H276" i="49"/>
  <c r="B276" i="49" s="1"/>
  <c r="H285" i="49"/>
  <c r="B285" i="49" s="1"/>
  <c r="H366" i="49"/>
  <c r="I365" i="49"/>
  <c r="T9" i="49"/>
  <c r="H273" i="49"/>
  <c r="H282" i="49"/>
  <c r="H382" i="49"/>
  <c r="H367" i="49"/>
  <c r="I366" i="49"/>
  <c r="H57" i="49"/>
  <c r="H161" i="49"/>
  <c r="I378" i="49"/>
  <c r="H351" i="49"/>
  <c r="Y9" i="49"/>
  <c r="H147" i="49" s="1"/>
  <c r="H153" i="49"/>
  <c r="B153" i="49" s="1"/>
  <c r="H154" i="49"/>
  <c r="B154" i="49" s="1"/>
  <c r="H275" i="49"/>
  <c r="B275" i="49" s="1"/>
  <c r="I382" i="49"/>
  <c r="H378" i="49"/>
  <c r="H371" i="49"/>
  <c r="I367" i="49"/>
  <c r="H150" i="49"/>
  <c r="B150" i="49" s="1"/>
  <c r="H164" i="49"/>
  <c r="B164" i="49" s="1"/>
  <c r="AE12" i="49"/>
  <c r="H5" i="49"/>
  <c r="H283" i="49"/>
  <c r="B283" i="49" s="1"/>
  <c r="I351" i="49"/>
  <c r="T15" i="49"/>
  <c r="H274" i="49"/>
  <c r="B274" i="49" s="1"/>
  <c r="H365" i="49"/>
  <c r="T11" i="49"/>
  <c r="H152" i="49"/>
  <c r="H163" i="49"/>
  <c r="B163" i="49" s="1"/>
  <c r="I371" i="49"/>
  <c r="H368" i="49"/>
  <c r="AE9" i="49"/>
  <c r="Y10" i="49"/>
  <c r="M46" i="49"/>
  <c r="Q36" i="49"/>
  <c r="H59" i="49"/>
  <c r="H61" i="49"/>
  <c r="I368" i="49"/>
  <c r="T16" i="49"/>
  <c r="AE11" i="49"/>
  <c r="H237" i="49"/>
  <c r="H284" i="49"/>
  <c r="B284" i="49" s="1"/>
  <c r="M51" i="49"/>
  <c r="R51" i="49" s="1"/>
  <c r="AE10" i="49"/>
  <c r="H50" i="49"/>
  <c r="M50" i="49" s="1"/>
  <c r="T10" i="49"/>
  <c r="H354" i="49"/>
  <c r="J354" i="49" s="1"/>
  <c r="H353" i="49"/>
  <c r="J353" i="49" s="1"/>
  <c r="U12" i="49"/>
  <c r="B48" i="49" l="1"/>
  <c r="M48" i="49"/>
  <c r="F27" i="50"/>
  <c r="D27" i="50"/>
  <c r="D27" i="51"/>
  <c r="F27" i="51"/>
  <c r="M39" i="49"/>
  <c r="R39" i="49" s="1"/>
  <c r="W361" i="49"/>
  <c r="D361" i="49" s="1"/>
  <c r="H271" i="49"/>
  <c r="B271" i="49" s="1"/>
  <c r="D271" i="49" s="1"/>
  <c r="B118" i="49"/>
  <c r="D118" i="49" s="1"/>
  <c r="H44" i="50"/>
  <c r="H269" i="49"/>
  <c r="B269" i="49" s="1"/>
  <c r="D269" i="49" s="1"/>
  <c r="H270" i="49"/>
  <c r="B270" i="49" s="1"/>
  <c r="D270" i="49" s="1"/>
  <c r="J351" i="49"/>
  <c r="K351" i="49" s="1"/>
  <c r="B351" i="49" s="1"/>
  <c r="D51" i="49"/>
  <c r="J367" i="49"/>
  <c r="K367" i="49" s="1"/>
  <c r="B367" i="49" s="1"/>
  <c r="H72" i="49"/>
  <c r="B72" i="49" s="1"/>
  <c r="H196" i="49"/>
  <c r="B196" i="49" s="1"/>
  <c r="H193" i="49"/>
  <c r="B193" i="49" s="1"/>
  <c r="H75" i="49"/>
  <c r="B75" i="49" s="1"/>
  <c r="H73" i="49"/>
  <c r="B73" i="49" s="1"/>
  <c r="H74" i="49"/>
  <c r="B74" i="49" s="1"/>
  <c r="AE15" i="49"/>
  <c r="AE16" i="49"/>
  <c r="H194" i="49"/>
  <c r="B194" i="49" s="1"/>
  <c r="AE17" i="49"/>
  <c r="H195" i="49"/>
  <c r="B195" i="49" s="1"/>
  <c r="H249" i="49"/>
  <c r="H123" i="49"/>
  <c r="H124" i="49"/>
  <c r="B124" i="49" s="1"/>
  <c r="H128" i="49"/>
  <c r="H47" i="49"/>
  <c r="H245" i="49"/>
  <c r="B245" i="49" s="1"/>
  <c r="H250" i="49"/>
  <c r="B250" i="49" s="1"/>
  <c r="H129" i="49"/>
  <c r="B129" i="49" s="1"/>
  <c r="H244" i="49"/>
  <c r="J365" i="49"/>
  <c r="D154" i="49"/>
  <c r="J366" i="49"/>
  <c r="D275" i="49"/>
  <c r="D274" i="49"/>
  <c r="D164" i="49"/>
  <c r="D153" i="49"/>
  <c r="D285" i="49"/>
  <c r="D150" i="49"/>
  <c r="H349" i="49"/>
  <c r="H138" i="49"/>
  <c r="H32" i="49"/>
  <c r="B20" i="54" s="1"/>
  <c r="H35" i="49"/>
  <c r="I349" i="49"/>
  <c r="Y11" i="49"/>
  <c r="H259" i="49"/>
  <c r="J382" i="49"/>
  <c r="B58" i="54"/>
  <c r="F58" i="54" s="1"/>
  <c r="D276" i="49"/>
  <c r="B147" i="49"/>
  <c r="H176" i="49"/>
  <c r="H264" i="49"/>
  <c r="W393" i="49"/>
  <c r="D393" i="49" s="1"/>
  <c r="W389" i="49"/>
  <c r="D389" i="49" s="1"/>
  <c r="AA389" i="49" s="1"/>
  <c r="W386" i="49"/>
  <c r="D386" i="49" s="1"/>
  <c r="W383" i="49"/>
  <c r="D383" i="49" s="1"/>
  <c r="W336" i="49"/>
  <c r="D336" i="49" s="1"/>
  <c r="W330" i="49"/>
  <c r="D330" i="49" s="1"/>
  <c r="D81" i="49"/>
  <c r="D90" i="49"/>
  <c r="D98" i="49"/>
  <c r="D114" i="49"/>
  <c r="D125" i="49"/>
  <c r="D185" i="49"/>
  <c r="D206" i="49"/>
  <c r="D214" i="49"/>
  <c r="D230" i="49"/>
  <c r="H139" i="49"/>
  <c r="H263" i="49"/>
  <c r="H266" i="49"/>
  <c r="W396" i="49"/>
  <c r="D396" i="49" s="1"/>
  <c r="W320" i="49"/>
  <c r="D320" i="49" s="1"/>
  <c r="W316" i="49"/>
  <c r="D316" i="49" s="1"/>
  <c r="W372" i="49"/>
  <c r="D372" i="49" s="1"/>
  <c r="W364" i="49"/>
  <c r="D364" i="49" s="1"/>
  <c r="W359" i="49"/>
  <c r="D359" i="49" s="1"/>
  <c r="W355" i="49"/>
  <c r="D355" i="49" s="1"/>
  <c r="W346" i="49"/>
  <c r="D346" i="49" s="1"/>
  <c r="W339" i="49"/>
  <c r="D339" i="49" s="1"/>
  <c r="W333" i="49"/>
  <c r="D333" i="49" s="1"/>
  <c r="D60" i="49"/>
  <c r="D82" i="49"/>
  <c r="D91" i="49"/>
  <c r="D99" i="49"/>
  <c r="D115" i="49"/>
  <c r="D126" i="49"/>
  <c r="D137" i="49"/>
  <c r="D166" i="49"/>
  <c r="D207" i="49"/>
  <c r="D215" i="49"/>
  <c r="D231" i="49"/>
  <c r="D251" i="49"/>
  <c r="D260" i="49"/>
  <c r="H145" i="49"/>
  <c r="H262" i="49"/>
  <c r="H265" i="49"/>
  <c r="W381" i="49"/>
  <c r="D381" i="49" s="1"/>
  <c r="W375" i="49"/>
  <c r="D375" i="49" s="1"/>
  <c r="W356" i="49"/>
  <c r="D356" i="49" s="1"/>
  <c r="W345" i="49"/>
  <c r="D345" i="49" s="1"/>
  <c r="W344" i="49"/>
  <c r="D344" i="49" s="1"/>
  <c r="W329" i="49"/>
  <c r="D329" i="49" s="1"/>
  <c r="D56" i="49"/>
  <c r="D87" i="49"/>
  <c r="D95" i="49"/>
  <c r="D111" i="49"/>
  <c r="D120" i="49"/>
  <c r="D133" i="49"/>
  <c r="D181" i="49"/>
  <c r="D202" i="49"/>
  <c r="D211" i="49"/>
  <c r="D219" i="49"/>
  <c r="D235" i="49"/>
  <c r="D243" i="49"/>
  <c r="D256" i="49"/>
  <c r="D43" i="49"/>
  <c r="H62" i="49"/>
  <c r="H287" i="49"/>
  <c r="B287" i="49" s="1"/>
  <c r="H290" i="49"/>
  <c r="B290" i="49" s="1"/>
  <c r="H292" i="49"/>
  <c r="B292" i="49" s="1"/>
  <c r="W392" i="49"/>
  <c r="D392" i="49" s="1"/>
  <c r="W317" i="49"/>
  <c r="D317" i="49" s="1"/>
  <c r="W341" i="49"/>
  <c r="D341" i="49" s="1"/>
  <c r="W334" i="49"/>
  <c r="D334" i="49" s="1"/>
  <c r="D33" i="49"/>
  <c r="D80" i="49"/>
  <c r="D94" i="49"/>
  <c r="D134" i="49"/>
  <c r="D168" i="49"/>
  <c r="D203" i="49"/>
  <c r="D217" i="49"/>
  <c r="D252" i="49"/>
  <c r="D45" i="49"/>
  <c r="D22" i="49"/>
  <c r="D36" i="49"/>
  <c r="AA36" i="49" s="1"/>
  <c r="D301" i="49"/>
  <c r="D60" i="54"/>
  <c r="F21" i="54"/>
  <c r="F35" i="54"/>
  <c r="F43" i="54"/>
  <c r="D17" i="54"/>
  <c r="D33" i="54"/>
  <c r="D42" i="54"/>
  <c r="D51" i="54"/>
  <c r="H142" i="49"/>
  <c r="H144" i="49"/>
  <c r="W319" i="49"/>
  <c r="D319" i="49" s="1"/>
  <c r="W369" i="49"/>
  <c r="D369" i="49" s="1"/>
  <c r="W337" i="49"/>
  <c r="D337" i="49" s="1"/>
  <c r="W332" i="49"/>
  <c r="D332" i="49" s="1"/>
  <c r="D55" i="49"/>
  <c r="D83" i="49"/>
  <c r="D96" i="49"/>
  <c r="D117" i="49"/>
  <c r="D179" i="49"/>
  <c r="D204" i="49"/>
  <c r="D218" i="49"/>
  <c r="D238" i="49"/>
  <c r="D254" i="49"/>
  <c r="D53" i="49"/>
  <c r="D23" i="49"/>
  <c r="D302" i="49"/>
  <c r="D310" i="49"/>
  <c r="F36" i="54"/>
  <c r="F44" i="54"/>
  <c r="D19" i="54"/>
  <c r="D35" i="54"/>
  <c r="D43" i="54"/>
  <c r="H182" i="49"/>
  <c r="W321" i="49"/>
  <c r="D321" i="49" s="1"/>
  <c r="W352" i="49"/>
  <c r="D352" i="49" s="1"/>
  <c r="W343" i="49"/>
  <c r="D343" i="49" s="1"/>
  <c r="W338" i="49"/>
  <c r="D338" i="49" s="1"/>
  <c r="W331" i="49"/>
  <c r="D331" i="49" s="1"/>
  <c r="D64" i="49"/>
  <c r="D89" i="49"/>
  <c r="D110" i="49"/>
  <c r="D127" i="49"/>
  <c r="D143" i="49"/>
  <c r="D212" i="49"/>
  <c r="D233" i="49"/>
  <c r="D246" i="49"/>
  <c r="D41" i="49"/>
  <c r="D295" i="49"/>
  <c r="D298" i="49"/>
  <c r="D306" i="49"/>
  <c r="N12" i="49"/>
  <c r="F16" i="54"/>
  <c r="F30" i="54"/>
  <c r="F40" i="54"/>
  <c r="D29" i="54"/>
  <c r="D39" i="54"/>
  <c r="D47" i="54"/>
  <c r="H141" i="49"/>
  <c r="H6" i="49"/>
  <c r="H387" i="49"/>
  <c r="W373" i="49"/>
  <c r="D373" i="49" s="1"/>
  <c r="D92" i="49"/>
  <c r="D121" i="49"/>
  <c r="D167" i="49"/>
  <c r="D213" i="49"/>
  <c r="D241" i="49"/>
  <c r="D294" i="49"/>
  <c r="D37" i="49"/>
  <c r="D307" i="49"/>
  <c r="F33" i="54"/>
  <c r="F47" i="54"/>
  <c r="D36" i="54"/>
  <c r="C3" i="54"/>
  <c r="B8" i="54" s="1"/>
  <c r="F37" i="51"/>
  <c r="F45" i="51"/>
  <c r="F60" i="51"/>
  <c r="F40" i="50"/>
  <c r="F50" i="50"/>
  <c r="F63" i="50"/>
  <c r="F105" i="50"/>
  <c r="F113" i="50"/>
  <c r="H289" i="49"/>
  <c r="W385" i="49"/>
  <c r="D385" i="49" s="1"/>
  <c r="W360" i="49"/>
  <c r="D360" i="49" s="1"/>
  <c r="D58" i="49"/>
  <c r="D93" i="49"/>
  <c r="D122" i="49"/>
  <c r="D216" i="49"/>
  <c r="D242" i="49"/>
  <c r="D308" i="49"/>
  <c r="N9" i="49"/>
  <c r="F37" i="54"/>
  <c r="D37" i="54"/>
  <c r="F55" i="54"/>
  <c r="F29" i="51"/>
  <c r="F38" i="51"/>
  <c r="F46" i="51"/>
  <c r="F16" i="50"/>
  <c r="F41" i="50"/>
  <c r="F83" i="50"/>
  <c r="F106" i="50"/>
  <c r="F114" i="50"/>
  <c r="H178" i="49"/>
  <c r="B178" i="49" s="1"/>
  <c r="W374" i="49"/>
  <c r="D374" i="49" s="1"/>
  <c r="W362" i="49"/>
  <c r="D362" i="49" s="1"/>
  <c r="W347" i="49"/>
  <c r="D347" i="49" s="1"/>
  <c r="D97" i="49"/>
  <c r="D130" i="49"/>
  <c r="D183" i="49"/>
  <c r="D220" i="49"/>
  <c r="D247" i="49"/>
  <c r="D21" i="49"/>
  <c r="D297" i="49"/>
  <c r="D311" i="49"/>
  <c r="N10" i="49"/>
  <c r="F17" i="54"/>
  <c r="F38" i="54"/>
  <c r="D16" i="54"/>
  <c r="D38" i="54"/>
  <c r="F16" i="51"/>
  <c r="F30" i="51"/>
  <c r="F39" i="51"/>
  <c r="F47" i="51"/>
  <c r="F17" i="50"/>
  <c r="F42" i="50"/>
  <c r="F76" i="50"/>
  <c r="F85" i="50"/>
  <c r="F107" i="50"/>
  <c r="F118" i="50"/>
  <c r="H291" i="49"/>
  <c r="B291" i="49" s="1"/>
  <c r="H394" i="49"/>
  <c r="W318" i="49"/>
  <c r="D318" i="49" s="1"/>
  <c r="W377" i="49"/>
  <c r="D377" i="49" s="1"/>
  <c r="W370" i="49"/>
  <c r="D370" i="49" s="1"/>
  <c r="W363" i="49"/>
  <c r="D363" i="49" s="1"/>
  <c r="W342" i="49"/>
  <c r="D342" i="49" s="1"/>
  <c r="D86" i="49"/>
  <c r="D113" i="49"/>
  <c r="D209" i="49"/>
  <c r="D236" i="49"/>
  <c r="D258" i="49"/>
  <c r="D304" i="49"/>
  <c r="F29" i="54"/>
  <c r="F45" i="54"/>
  <c r="D30" i="54"/>
  <c r="D45" i="54"/>
  <c r="F51" i="54"/>
  <c r="F35" i="51"/>
  <c r="F43" i="51"/>
  <c r="F23" i="50"/>
  <c r="F47" i="50"/>
  <c r="F71" i="50"/>
  <c r="F103" i="50"/>
  <c r="F111" i="50"/>
  <c r="W358" i="49"/>
  <c r="D358" i="49" s="1"/>
  <c r="D28" i="49"/>
  <c r="D119" i="49"/>
  <c r="D210" i="49"/>
  <c r="F46" i="54"/>
  <c r="D46" i="54"/>
  <c r="F19" i="51"/>
  <c r="F41" i="51"/>
  <c r="F21" i="50"/>
  <c r="F69" i="50"/>
  <c r="F109" i="50"/>
  <c r="D172" i="49"/>
  <c r="M173" i="49"/>
  <c r="D41" i="51"/>
  <c r="D55" i="51"/>
  <c r="D51" i="51"/>
  <c r="H293" i="49"/>
  <c r="W340" i="49"/>
  <c r="D340" i="49" s="1"/>
  <c r="D65" i="49"/>
  <c r="D131" i="49"/>
  <c r="D222" i="49"/>
  <c r="D299" i="49"/>
  <c r="F19" i="54"/>
  <c r="D21" i="54"/>
  <c r="F21" i="51"/>
  <c r="F42" i="51"/>
  <c r="F88" i="50"/>
  <c r="F110" i="50"/>
  <c r="M168" i="49"/>
  <c r="D16" i="51"/>
  <c r="D33" i="51"/>
  <c r="D42" i="51"/>
  <c r="D111" i="50"/>
  <c r="D85" i="50"/>
  <c r="D71" i="50"/>
  <c r="W348" i="49"/>
  <c r="D348" i="49" s="1"/>
  <c r="D67" i="49"/>
  <c r="D232" i="49"/>
  <c r="D42" i="49"/>
  <c r="D300" i="49"/>
  <c r="F23" i="54"/>
  <c r="F60" i="54"/>
  <c r="F23" i="51"/>
  <c r="F44" i="51"/>
  <c r="F73" i="50"/>
  <c r="F112" i="50"/>
  <c r="D174" i="49"/>
  <c r="D177" i="49"/>
  <c r="D17" i="51"/>
  <c r="D35" i="51"/>
  <c r="D43" i="51"/>
  <c r="C3" i="51"/>
  <c r="B8" i="51" s="1"/>
  <c r="D118" i="50"/>
  <c r="D110" i="50"/>
  <c r="D41" i="50"/>
  <c r="D19" i="50"/>
  <c r="M319" i="49"/>
  <c r="M306" i="49"/>
  <c r="M298" i="49"/>
  <c r="M25" i="49"/>
  <c r="W357" i="49"/>
  <c r="D357" i="49" s="1"/>
  <c r="D109" i="49"/>
  <c r="D201" i="49"/>
  <c r="D255" i="49"/>
  <c r="D25" i="49"/>
  <c r="F41" i="54"/>
  <c r="D41" i="54"/>
  <c r="F36" i="51"/>
  <c r="F62" i="50"/>
  <c r="F104" i="50"/>
  <c r="M167" i="49"/>
  <c r="M171" i="49"/>
  <c r="D29" i="51"/>
  <c r="D39" i="51"/>
  <c r="D47" i="51"/>
  <c r="D107" i="50"/>
  <c r="D103" i="50"/>
  <c r="D77" i="50"/>
  <c r="D17" i="50"/>
  <c r="M391" i="49"/>
  <c r="M311" i="49"/>
  <c r="M302" i="49"/>
  <c r="M36" i="49"/>
  <c r="M21" i="49"/>
  <c r="D11" i="49"/>
  <c r="W384" i="49"/>
  <c r="D384" i="49" s="1"/>
  <c r="D248" i="49"/>
  <c r="F55" i="51"/>
  <c r="F35" i="50"/>
  <c r="F78" i="50"/>
  <c r="M166" i="49"/>
  <c r="D30" i="51"/>
  <c r="D50" i="50"/>
  <c r="D112" i="50"/>
  <c r="D69" i="50"/>
  <c r="M310" i="49"/>
  <c r="M299" i="49"/>
  <c r="M23" i="49"/>
  <c r="D10" i="49"/>
  <c r="D37" i="51"/>
  <c r="D42" i="50"/>
  <c r="M389" i="49"/>
  <c r="W391" i="49"/>
  <c r="D391" i="49" s="1"/>
  <c r="D88" i="49"/>
  <c r="N11" i="49"/>
  <c r="D114" i="50"/>
  <c r="D127" i="50"/>
  <c r="D40" i="50"/>
  <c r="M37" i="49"/>
  <c r="D188" i="49"/>
  <c r="N13" i="49"/>
  <c r="M172" i="49"/>
  <c r="D40" i="51"/>
  <c r="D102" i="50"/>
  <c r="M33" i="49"/>
  <c r="D257" i="49"/>
  <c r="F39" i="54"/>
  <c r="F37" i="50"/>
  <c r="D9" i="49"/>
  <c r="D36" i="51"/>
  <c r="D83" i="50"/>
  <c r="D47" i="50"/>
  <c r="D106" i="50"/>
  <c r="D88" i="50"/>
  <c r="D16" i="50"/>
  <c r="M392" i="49"/>
  <c r="M308" i="49"/>
  <c r="M297" i="49"/>
  <c r="M22" i="49"/>
  <c r="H180" i="49"/>
  <c r="D85" i="49"/>
  <c r="D44" i="49"/>
  <c r="F42" i="54"/>
  <c r="F17" i="51"/>
  <c r="F51" i="51"/>
  <c r="F86" i="50"/>
  <c r="D105" i="50"/>
  <c r="D86" i="50"/>
  <c r="D23" i="50"/>
  <c r="M307" i="49"/>
  <c r="M53" i="49"/>
  <c r="D23" i="54"/>
  <c r="M174" i="49"/>
  <c r="D38" i="51"/>
  <c r="D104" i="50"/>
  <c r="D63" i="50"/>
  <c r="M305" i="49"/>
  <c r="D24" i="49"/>
  <c r="F56" i="50"/>
  <c r="D109" i="50"/>
  <c r="D62" i="50"/>
  <c r="M304" i="49"/>
  <c r="H286" i="49"/>
  <c r="D234" i="49"/>
  <c r="D303" i="49"/>
  <c r="D44" i="54"/>
  <c r="F40" i="51"/>
  <c r="F19" i="50"/>
  <c r="F108" i="50"/>
  <c r="D171" i="49"/>
  <c r="D173" i="49"/>
  <c r="D21" i="51"/>
  <c r="D45" i="51"/>
  <c r="D122" i="50"/>
  <c r="D76" i="50"/>
  <c r="M317" i="49"/>
  <c r="M301" i="49"/>
  <c r="M26" i="49"/>
  <c r="D13" i="49"/>
  <c r="W379" i="49"/>
  <c r="D379" i="49" s="1"/>
  <c r="W350" i="49"/>
  <c r="D350" i="49" s="1"/>
  <c r="D240" i="49"/>
  <c r="D305" i="49"/>
  <c r="F77" i="50"/>
  <c r="F122" i="50"/>
  <c r="D23" i="51"/>
  <c r="D46" i="51"/>
  <c r="D113" i="50"/>
  <c r="D73" i="50"/>
  <c r="M396" i="49"/>
  <c r="M316" i="49"/>
  <c r="M300" i="49"/>
  <c r="M24" i="49"/>
  <c r="D12" i="49"/>
  <c r="M393" i="49"/>
  <c r="D60" i="51"/>
  <c r="D21" i="50"/>
  <c r="M321" i="49"/>
  <c r="D101" i="49"/>
  <c r="F127" i="50"/>
  <c r="F100" i="50"/>
  <c r="D37" i="50"/>
  <c r="M320" i="49"/>
  <c r="D208" i="49"/>
  <c r="D26" i="49"/>
  <c r="D44" i="51"/>
  <c r="D78" i="50"/>
  <c r="D35" i="50"/>
  <c r="C3" i="50"/>
  <c r="B8" i="50" s="1"/>
  <c r="D40" i="54"/>
  <c r="F102" i="50"/>
  <c r="D56" i="50"/>
  <c r="D55" i="54"/>
  <c r="D108" i="50"/>
  <c r="M318" i="49"/>
  <c r="M303" i="49"/>
  <c r="D112" i="49"/>
  <c r="F33" i="51"/>
  <c r="M28" i="49"/>
  <c r="D19" i="51"/>
  <c r="D100" i="50"/>
  <c r="D38" i="49"/>
  <c r="M38" i="49"/>
  <c r="R38" i="49" s="1"/>
  <c r="D46" i="49"/>
  <c r="D186" i="49"/>
  <c r="D162" i="49"/>
  <c r="D24" i="54"/>
  <c r="K353" i="49"/>
  <c r="B353" i="49" s="1"/>
  <c r="D284" i="49"/>
  <c r="B59" i="49"/>
  <c r="H31" i="50"/>
  <c r="H135" i="49"/>
  <c r="H158" i="49"/>
  <c r="B158" i="49" s="1"/>
  <c r="H277" i="49"/>
  <c r="B277" i="49" s="1"/>
  <c r="H159" i="49"/>
  <c r="B159" i="49" s="1"/>
  <c r="H279" i="49"/>
  <c r="B279" i="49" s="1"/>
  <c r="H136" i="49"/>
  <c r="B136" i="49" s="1"/>
  <c r="H280" i="49"/>
  <c r="B280" i="49" s="1"/>
  <c r="H156" i="49"/>
  <c r="B156" i="49" s="1"/>
  <c r="H239" i="49"/>
  <c r="H278" i="49"/>
  <c r="B278" i="49" s="1"/>
  <c r="H157" i="49"/>
  <c r="B157" i="49" s="1"/>
  <c r="J371" i="49"/>
  <c r="B273" i="49"/>
  <c r="D155" i="49"/>
  <c r="B31" i="49"/>
  <c r="M31" i="49"/>
  <c r="J31" i="49" s="1"/>
  <c r="R31" i="49" s="1"/>
  <c r="H30" i="50"/>
  <c r="B57" i="49"/>
  <c r="B50" i="49"/>
  <c r="B26" i="54"/>
  <c r="H32" i="50"/>
  <c r="B61" i="49"/>
  <c r="H95" i="50"/>
  <c r="B282" i="49"/>
  <c r="F24" i="54"/>
  <c r="K354" i="49"/>
  <c r="B354" i="49" s="1"/>
  <c r="B237" i="49"/>
  <c r="H79" i="50"/>
  <c r="D163" i="49"/>
  <c r="J378" i="49"/>
  <c r="B57" i="54"/>
  <c r="F57" i="54" s="1"/>
  <c r="H268" i="49"/>
  <c r="H149" i="49"/>
  <c r="B149" i="49" s="1"/>
  <c r="H148" i="49"/>
  <c r="B148" i="49" s="1"/>
  <c r="M30" i="49"/>
  <c r="J30" i="49" s="1"/>
  <c r="R30" i="49" s="1"/>
  <c r="B30" i="49"/>
  <c r="H76" i="49"/>
  <c r="B76" i="49" s="1"/>
  <c r="H102" i="49"/>
  <c r="H223" i="49"/>
  <c r="H79" i="49"/>
  <c r="B79" i="49" s="1"/>
  <c r="H197" i="49"/>
  <c r="B197" i="49" s="1"/>
  <c r="H200" i="49"/>
  <c r="B200" i="49" s="1"/>
  <c r="H198" i="49"/>
  <c r="B198" i="49" s="1"/>
  <c r="H199" i="49"/>
  <c r="B199" i="49" s="1"/>
  <c r="H77" i="49"/>
  <c r="B77" i="49" s="1"/>
  <c r="H78" i="49"/>
  <c r="B78" i="49" s="1"/>
  <c r="J368" i="49"/>
  <c r="D39" i="49"/>
  <c r="B24" i="50"/>
  <c r="Z39" i="49"/>
  <c r="B24" i="51"/>
  <c r="B152" i="49"/>
  <c r="D283" i="49"/>
  <c r="B161" i="49"/>
  <c r="H59" i="50"/>
  <c r="H69" i="49"/>
  <c r="B69" i="49" s="1"/>
  <c r="H189" i="49"/>
  <c r="B189" i="49" s="1"/>
  <c r="H68" i="49"/>
  <c r="B68" i="49" s="1"/>
  <c r="H191" i="49"/>
  <c r="B191" i="49" s="1"/>
  <c r="H190" i="49"/>
  <c r="B190" i="49" s="1"/>
  <c r="H70" i="49"/>
  <c r="B70" i="49" s="1"/>
  <c r="H71" i="49"/>
  <c r="B71" i="49" s="1"/>
  <c r="H192" i="49"/>
  <c r="B192" i="49" s="1"/>
  <c r="T12" i="49"/>
  <c r="H187" i="49"/>
  <c r="H66" i="49"/>
  <c r="B116" i="49"/>
  <c r="H43" i="50"/>
  <c r="B29" i="49"/>
  <c r="M29" i="49"/>
  <c r="J29" i="49" s="1"/>
  <c r="R29" i="49" s="1"/>
  <c r="F48" i="49" l="1"/>
  <c r="D48" i="49"/>
  <c r="F164" i="49"/>
  <c r="F361" i="49"/>
  <c r="B44" i="50"/>
  <c r="F44" i="50" s="1"/>
  <c r="F269" i="49"/>
  <c r="AA26" i="49"/>
  <c r="F39" i="49"/>
  <c r="H94" i="50"/>
  <c r="F284" i="49"/>
  <c r="F163" i="49"/>
  <c r="F162" i="49"/>
  <c r="F283" i="49"/>
  <c r="F118" i="49"/>
  <c r="F155" i="49"/>
  <c r="F285" i="49"/>
  <c r="F154" i="49"/>
  <c r="AA39" i="49"/>
  <c r="F367" i="49"/>
  <c r="W367" i="49"/>
  <c r="D367" i="49" s="1"/>
  <c r="D68" i="49"/>
  <c r="F68" i="49"/>
  <c r="D190" i="49"/>
  <c r="F190" i="49"/>
  <c r="F351" i="49"/>
  <c r="D197" i="49"/>
  <c r="F197" i="49"/>
  <c r="D149" i="49"/>
  <c r="F149" i="49"/>
  <c r="F354" i="49"/>
  <c r="D50" i="49"/>
  <c r="AA51" i="49" s="1"/>
  <c r="Z51" i="49"/>
  <c r="F50" i="49"/>
  <c r="B26" i="50"/>
  <c r="B26" i="51"/>
  <c r="D136" i="49"/>
  <c r="F136" i="49"/>
  <c r="H98" i="50"/>
  <c r="B286" i="49"/>
  <c r="B180" i="49"/>
  <c r="H67" i="50"/>
  <c r="B182" i="49"/>
  <c r="H68" i="50"/>
  <c r="H33" i="50"/>
  <c r="B62" i="49"/>
  <c r="B262" i="49"/>
  <c r="H90" i="50"/>
  <c r="B57" i="50"/>
  <c r="F147" i="49"/>
  <c r="D147" i="49"/>
  <c r="B35" i="49"/>
  <c r="M35" i="49"/>
  <c r="R35" i="49" s="1"/>
  <c r="B22" i="54"/>
  <c r="B128" i="49"/>
  <c r="H46" i="50"/>
  <c r="H224" i="49"/>
  <c r="H103" i="49"/>
  <c r="H225" i="49"/>
  <c r="H104" i="49"/>
  <c r="B104" i="49" s="1"/>
  <c r="D116" i="49"/>
  <c r="B43" i="50"/>
  <c r="F116" i="49"/>
  <c r="D191" i="49"/>
  <c r="F191" i="49"/>
  <c r="H58" i="50"/>
  <c r="D79" i="49"/>
  <c r="F79" i="49"/>
  <c r="B268" i="49"/>
  <c r="H93" i="50"/>
  <c r="I412" i="49"/>
  <c r="D273" i="49"/>
  <c r="B94" i="50"/>
  <c r="F273" i="49"/>
  <c r="D279" i="49"/>
  <c r="F279" i="49"/>
  <c r="W354" i="49"/>
  <c r="D354" i="49" s="1"/>
  <c r="AA308" i="49"/>
  <c r="B289" i="49"/>
  <c r="B32" i="54"/>
  <c r="B144" i="49"/>
  <c r="H60" i="50"/>
  <c r="B145" i="49"/>
  <c r="H61" i="50"/>
  <c r="F276" i="49"/>
  <c r="M32" i="49"/>
  <c r="R32" i="49" s="1"/>
  <c r="B32" i="49"/>
  <c r="B20" i="50" s="1"/>
  <c r="F270" i="49"/>
  <c r="D124" i="49"/>
  <c r="F124" i="49"/>
  <c r="D74" i="49"/>
  <c r="F74" i="49"/>
  <c r="D152" i="49"/>
  <c r="B58" i="50"/>
  <c r="F152" i="49"/>
  <c r="D57" i="49"/>
  <c r="F57" i="49"/>
  <c r="B30" i="50"/>
  <c r="B142" i="49"/>
  <c r="H55" i="50"/>
  <c r="B123" i="49"/>
  <c r="H45" i="50"/>
  <c r="B187" i="49"/>
  <c r="H70" i="50"/>
  <c r="B102" i="49"/>
  <c r="H38" i="50"/>
  <c r="F157" i="49"/>
  <c r="D157" i="49"/>
  <c r="D178" i="49"/>
  <c r="F178" i="49"/>
  <c r="B244" i="49"/>
  <c r="H81" i="50"/>
  <c r="D75" i="49"/>
  <c r="F75" i="49"/>
  <c r="D69" i="49"/>
  <c r="F69" i="49"/>
  <c r="F77" i="49"/>
  <c r="D77" i="49"/>
  <c r="D76" i="49"/>
  <c r="F76" i="49"/>
  <c r="D278" i="49"/>
  <c r="F278" i="49"/>
  <c r="F158" i="49"/>
  <c r="D158" i="49"/>
  <c r="B48" i="54"/>
  <c r="B293" i="49"/>
  <c r="AA295" i="49"/>
  <c r="F46" i="49"/>
  <c r="F356" i="49"/>
  <c r="F392" i="49"/>
  <c r="F256" i="49"/>
  <c r="F369" i="49"/>
  <c r="F389" i="49"/>
  <c r="F257" i="49"/>
  <c r="F384" i="49"/>
  <c r="F396" i="49"/>
  <c r="F375" i="49"/>
  <c r="F348" i="49"/>
  <c r="F336" i="49"/>
  <c r="F334" i="49"/>
  <c r="F318" i="49"/>
  <c r="F305" i="49"/>
  <c r="F297" i="49"/>
  <c r="F260" i="49"/>
  <c r="F246" i="49"/>
  <c r="F234" i="49"/>
  <c r="F216" i="49"/>
  <c r="F208" i="49"/>
  <c r="F179" i="49"/>
  <c r="F172" i="49"/>
  <c r="F127" i="49"/>
  <c r="F115" i="49"/>
  <c r="F97" i="49"/>
  <c r="F89" i="49"/>
  <c r="F80" i="49"/>
  <c r="F26" i="49"/>
  <c r="F391" i="49"/>
  <c r="F374" i="49"/>
  <c r="F346" i="49"/>
  <c r="F333" i="49"/>
  <c r="F317" i="49"/>
  <c r="F304" i="49"/>
  <c r="F294" i="49"/>
  <c r="F258" i="49"/>
  <c r="F243" i="49"/>
  <c r="F233" i="49"/>
  <c r="F215" i="49"/>
  <c r="F207" i="49"/>
  <c r="F177" i="49"/>
  <c r="F171" i="49"/>
  <c r="F126" i="49"/>
  <c r="F114" i="49"/>
  <c r="F96" i="49"/>
  <c r="F88" i="49"/>
  <c r="F67" i="49"/>
  <c r="F53" i="49"/>
  <c r="F37" i="49"/>
  <c r="F25" i="49"/>
  <c r="F11" i="49"/>
  <c r="F373" i="49"/>
  <c r="F364" i="49"/>
  <c r="F345" i="49"/>
  <c r="F331" i="49"/>
  <c r="F316" i="49"/>
  <c r="F303" i="49"/>
  <c r="F295" i="49"/>
  <c r="F255" i="49"/>
  <c r="F242" i="49"/>
  <c r="F232" i="49"/>
  <c r="F214" i="49"/>
  <c r="F206" i="49"/>
  <c r="F168" i="49"/>
  <c r="F125" i="49"/>
  <c r="F113" i="49"/>
  <c r="F95" i="49"/>
  <c r="F87" i="49"/>
  <c r="F64" i="49"/>
  <c r="F36" i="49"/>
  <c r="F24" i="49"/>
  <c r="F377" i="49"/>
  <c r="F381" i="49"/>
  <c r="F358" i="49"/>
  <c r="F352" i="49"/>
  <c r="F338" i="49"/>
  <c r="F342" i="49"/>
  <c r="F320" i="49"/>
  <c r="F307" i="49"/>
  <c r="F299" i="49"/>
  <c r="F248" i="49"/>
  <c r="F236" i="49"/>
  <c r="F218" i="49"/>
  <c r="F210" i="49"/>
  <c r="F201" i="49"/>
  <c r="F183" i="49"/>
  <c r="F174" i="49"/>
  <c r="F131" i="49"/>
  <c r="F119" i="49"/>
  <c r="F109" i="49"/>
  <c r="F99" i="49"/>
  <c r="F91" i="49"/>
  <c r="F82" i="49"/>
  <c r="F56" i="49"/>
  <c r="F42" i="49"/>
  <c r="F393" i="49"/>
  <c r="F350" i="49"/>
  <c r="F332" i="49"/>
  <c r="F306" i="49"/>
  <c r="F247" i="49"/>
  <c r="F209" i="49"/>
  <c r="F181" i="49"/>
  <c r="F143" i="49"/>
  <c r="F117" i="49"/>
  <c r="F98" i="49"/>
  <c r="F81" i="49"/>
  <c r="F28" i="49"/>
  <c r="F12" i="49"/>
  <c r="F385" i="49"/>
  <c r="F301" i="49"/>
  <c r="F240" i="49"/>
  <c r="F203" i="49"/>
  <c r="F134" i="49"/>
  <c r="F93" i="49"/>
  <c r="F44" i="49"/>
  <c r="F13" i="49"/>
  <c r="F321" i="49"/>
  <c r="F133" i="49"/>
  <c r="F21" i="49"/>
  <c r="F357" i="49"/>
  <c r="F217" i="49"/>
  <c r="F41" i="49"/>
  <c r="F386" i="49"/>
  <c r="F341" i="49"/>
  <c r="F330" i="49"/>
  <c r="F302" i="49"/>
  <c r="F241" i="49"/>
  <c r="F222" i="49"/>
  <c r="F204" i="49"/>
  <c r="F137" i="49"/>
  <c r="F112" i="49"/>
  <c r="F94" i="49"/>
  <c r="F45" i="49"/>
  <c r="F23" i="49"/>
  <c r="F360" i="49"/>
  <c r="F340" i="49"/>
  <c r="F329" i="49"/>
  <c r="F220" i="49"/>
  <c r="F111" i="49"/>
  <c r="F22" i="49"/>
  <c r="F383" i="49"/>
  <c r="F339" i="49"/>
  <c r="F300" i="49"/>
  <c r="F238" i="49"/>
  <c r="F202" i="49"/>
  <c r="F110" i="49"/>
  <c r="F319" i="49"/>
  <c r="F235" i="49"/>
  <c r="F173" i="49"/>
  <c r="F90" i="49"/>
  <c r="F9" i="49"/>
  <c r="F370" i="49"/>
  <c r="F362" i="49"/>
  <c r="F344" i="49"/>
  <c r="F310" i="49"/>
  <c r="F252" i="49"/>
  <c r="F230" i="49"/>
  <c r="F212" i="49"/>
  <c r="F186" i="49"/>
  <c r="F166" i="49"/>
  <c r="F121" i="49"/>
  <c r="F85" i="49"/>
  <c r="F60" i="49"/>
  <c r="F355" i="49"/>
  <c r="F343" i="49"/>
  <c r="F308" i="49"/>
  <c r="F251" i="49"/>
  <c r="F211" i="49"/>
  <c r="F185" i="49"/>
  <c r="F120" i="49"/>
  <c r="F101" i="49"/>
  <c r="F83" i="49"/>
  <c r="F58" i="49"/>
  <c r="F359" i="49"/>
  <c r="F219" i="49"/>
  <c r="F92" i="49"/>
  <c r="F43" i="49"/>
  <c r="F379" i="49"/>
  <c r="F337" i="49"/>
  <c r="F298" i="49"/>
  <c r="F188" i="49"/>
  <c r="F130" i="49"/>
  <c r="F65" i="49"/>
  <c r="F86" i="49"/>
  <c r="F254" i="49"/>
  <c r="F55" i="49"/>
  <c r="F231" i="49"/>
  <c r="F33" i="49"/>
  <c r="F372" i="49"/>
  <c r="F363" i="49"/>
  <c r="F213" i="49"/>
  <c r="F10" i="49"/>
  <c r="F167" i="49"/>
  <c r="F347" i="49"/>
  <c r="F122" i="49"/>
  <c r="F311" i="49"/>
  <c r="F38" i="49"/>
  <c r="F51" i="49"/>
  <c r="H52" i="50"/>
  <c r="B139" i="49"/>
  <c r="K382" i="49"/>
  <c r="B382" i="49" s="1"/>
  <c r="F274" i="49"/>
  <c r="F129" i="49"/>
  <c r="D129" i="49"/>
  <c r="D195" i="49"/>
  <c r="F195" i="49"/>
  <c r="D193" i="49"/>
  <c r="F193" i="49"/>
  <c r="K368" i="49"/>
  <c r="B368" i="49" s="1"/>
  <c r="D159" i="49"/>
  <c r="F159" i="49"/>
  <c r="F73" i="49"/>
  <c r="D73" i="49"/>
  <c r="F24" i="51"/>
  <c r="D24" i="51"/>
  <c r="D282" i="49"/>
  <c r="B95" i="50"/>
  <c r="F282" i="49"/>
  <c r="B59" i="54"/>
  <c r="B387" i="49"/>
  <c r="R397" i="49"/>
  <c r="H397" i="49" s="1"/>
  <c r="J403" i="49"/>
  <c r="B263" i="49"/>
  <c r="H91" i="50"/>
  <c r="J349" i="49"/>
  <c r="J402" i="49"/>
  <c r="B56" i="54"/>
  <c r="B249" i="49"/>
  <c r="H82" i="50"/>
  <c r="D20" i="54"/>
  <c r="F20" i="54"/>
  <c r="D192" i="49"/>
  <c r="F192" i="49"/>
  <c r="D24" i="50"/>
  <c r="F24" i="50"/>
  <c r="D199" i="49"/>
  <c r="F199" i="49"/>
  <c r="D30" i="49"/>
  <c r="F30" i="49"/>
  <c r="D61" i="49"/>
  <c r="B32" i="50"/>
  <c r="F61" i="49"/>
  <c r="D31" i="49"/>
  <c r="F31" i="49"/>
  <c r="B239" i="49"/>
  <c r="H80" i="50"/>
  <c r="B135" i="49"/>
  <c r="H49" i="50"/>
  <c r="D57" i="54"/>
  <c r="B141" i="49"/>
  <c r="H54" i="50"/>
  <c r="W351" i="49"/>
  <c r="D351" i="49" s="1"/>
  <c r="F292" i="49"/>
  <c r="D292" i="49"/>
  <c r="H92" i="50"/>
  <c r="B264" i="49"/>
  <c r="B259" i="49"/>
  <c r="H87" i="50"/>
  <c r="F150" i="49"/>
  <c r="F275" i="49"/>
  <c r="F250" i="49"/>
  <c r="D250" i="49"/>
  <c r="H229" i="49"/>
  <c r="B229" i="49" s="1"/>
  <c r="H107" i="49"/>
  <c r="H228" i="49"/>
  <c r="B228" i="49" s="1"/>
  <c r="H108" i="49"/>
  <c r="B108" i="49" s="1"/>
  <c r="D196" i="49"/>
  <c r="F196" i="49"/>
  <c r="F353" i="49"/>
  <c r="B138" i="49"/>
  <c r="H51" i="50"/>
  <c r="D78" i="49"/>
  <c r="F78" i="49"/>
  <c r="D71" i="49"/>
  <c r="F71" i="49"/>
  <c r="D161" i="49"/>
  <c r="B59" i="50"/>
  <c r="F161" i="49"/>
  <c r="D198" i="49"/>
  <c r="F198" i="49"/>
  <c r="D156" i="49"/>
  <c r="F156" i="49"/>
  <c r="D58" i="54"/>
  <c r="B61" i="54"/>
  <c r="B394" i="49"/>
  <c r="M394" i="49"/>
  <c r="AA311" i="49"/>
  <c r="W353" i="49"/>
  <c r="D353" i="49" s="1"/>
  <c r="D290" i="49"/>
  <c r="F290" i="49"/>
  <c r="B176" i="49"/>
  <c r="H66" i="50"/>
  <c r="F271" i="49"/>
  <c r="D245" i="49"/>
  <c r="F245" i="49"/>
  <c r="D194" i="49"/>
  <c r="F194" i="49"/>
  <c r="D72" i="49"/>
  <c r="F72" i="49"/>
  <c r="B66" i="49"/>
  <c r="H34" i="50"/>
  <c r="B223" i="49"/>
  <c r="H74" i="50"/>
  <c r="K371" i="49"/>
  <c r="B371" i="49" s="1"/>
  <c r="B266" i="49"/>
  <c r="H97" i="50"/>
  <c r="K365" i="49"/>
  <c r="B365" i="49" s="1"/>
  <c r="F189" i="49"/>
  <c r="D189" i="49"/>
  <c r="K378" i="49"/>
  <c r="B378" i="49" s="1"/>
  <c r="D277" i="49"/>
  <c r="F277" i="49"/>
  <c r="D8" i="49"/>
  <c r="D29" i="49"/>
  <c r="F29" i="49"/>
  <c r="F70" i="49"/>
  <c r="D70" i="49"/>
  <c r="D200" i="49"/>
  <c r="F200" i="49"/>
  <c r="D148" i="49"/>
  <c r="F148" i="49"/>
  <c r="D237" i="49"/>
  <c r="B79" i="50"/>
  <c r="F237" i="49"/>
  <c r="F26" i="54"/>
  <c r="D26" i="54"/>
  <c r="F280" i="49"/>
  <c r="D280" i="49"/>
  <c r="D59" i="49"/>
  <c r="F59" i="49"/>
  <c r="B31" i="50"/>
  <c r="D291" i="49"/>
  <c r="F291" i="49"/>
  <c r="N14" i="49"/>
  <c r="D287" i="49"/>
  <c r="F287" i="49"/>
  <c r="AA334" i="49"/>
  <c r="B265" i="49"/>
  <c r="H96" i="50"/>
  <c r="D323" i="49"/>
  <c r="AA321" i="49"/>
  <c r="AA323" i="49" s="1"/>
  <c r="H57" i="50"/>
  <c r="F153" i="49"/>
  <c r="K366" i="49"/>
  <c r="B366" i="49" s="1"/>
  <c r="B47" i="49"/>
  <c r="B25" i="54"/>
  <c r="M47" i="49"/>
  <c r="H105" i="49"/>
  <c r="B105" i="49" s="1"/>
  <c r="H106" i="49"/>
  <c r="B106" i="49" s="1"/>
  <c r="H226" i="49"/>
  <c r="B226" i="49" s="1"/>
  <c r="H227" i="49"/>
  <c r="B227" i="49" s="1"/>
  <c r="B25" i="50" l="1"/>
  <c r="B25" i="51"/>
  <c r="D44" i="50"/>
  <c r="B20" i="51"/>
  <c r="D20" i="51" s="1"/>
  <c r="Z33" i="49"/>
  <c r="J404" i="49"/>
  <c r="C4" i="54"/>
  <c r="C4" i="51"/>
  <c r="C4" i="50"/>
  <c r="F371" i="49"/>
  <c r="W371" i="49"/>
  <c r="D371" i="49" s="1"/>
  <c r="B107" i="49"/>
  <c r="B28" i="54"/>
  <c r="D264" i="49"/>
  <c r="B92" i="50"/>
  <c r="F264" i="49"/>
  <c r="B225" i="49"/>
  <c r="B31" i="54"/>
  <c r="F30" i="50"/>
  <c r="D30" i="50"/>
  <c r="D226" i="49"/>
  <c r="F226" i="49"/>
  <c r="B57" i="51"/>
  <c r="B124" i="50"/>
  <c r="F378" i="49"/>
  <c r="W378" i="49"/>
  <c r="D378" i="49" s="1"/>
  <c r="F20" i="50"/>
  <c r="D20" i="50"/>
  <c r="F365" i="49"/>
  <c r="W365" i="49"/>
  <c r="D365" i="49" s="1"/>
  <c r="F366" i="49"/>
  <c r="W366" i="49"/>
  <c r="D366" i="49" s="1"/>
  <c r="F32" i="50"/>
  <c r="D32" i="50"/>
  <c r="D265" i="49"/>
  <c r="B96" i="50"/>
  <c r="F265" i="49"/>
  <c r="F31" i="50"/>
  <c r="D31" i="50"/>
  <c r="F79" i="50"/>
  <c r="D79" i="50"/>
  <c r="F108" i="49"/>
  <c r="D108" i="49"/>
  <c r="B82" i="50"/>
  <c r="D249" i="49"/>
  <c r="F249" i="49"/>
  <c r="Z387" i="49"/>
  <c r="B59" i="51"/>
  <c r="B126" i="50"/>
  <c r="F387" i="49"/>
  <c r="W387" i="49"/>
  <c r="D387" i="49" s="1"/>
  <c r="AA387" i="49" s="1"/>
  <c r="B48" i="51"/>
  <c r="B115" i="50"/>
  <c r="D293" i="49"/>
  <c r="F293" i="49"/>
  <c r="D244" i="49"/>
  <c r="B81" i="50"/>
  <c r="F244" i="49"/>
  <c r="B93" i="50"/>
  <c r="D268" i="49"/>
  <c r="F268" i="49"/>
  <c r="D62" i="49"/>
  <c r="B33" i="50"/>
  <c r="F62" i="49"/>
  <c r="D227" i="49"/>
  <c r="F227" i="49"/>
  <c r="D228" i="49"/>
  <c r="F228" i="49"/>
  <c r="D259" i="49"/>
  <c r="F259" i="49"/>
  <c r="B87" i="50"/>
  <c r="D141" i="49"/>
  <c r="B54" i="50"/>
  <c r="F141" i="49"/>
  <c r="F56" i="54"/>
  <c r="D56" i="54"/>
  <c r="F59" i="54"/>
  <c r="D59" i="54"/>
  <c r="F48" i="54"/>
  <c r="D48" i="54"/>
  <c r="B38" i="50"/>
  <c r="D102" i="49"/>
  <c r="F102" i="49"/>
  <c r="D145" i="49"/>
  <c r="B61" i="50"/>
  <c r="F145" i="49"/>
  <c r="D104" i="49"/>
  <c r="F104" i="49"/>
  <c r="Z35" i="49"/>
  <c r="B22" i="50"/>
  <c r="F35" i="49"/>
  <c r="D35" i="49"/>
  <c r="AA35" i="49" s="1"/>
  <c r="B22" i="51"/>
  <c r="D106" i="49"/>
  <c r="F106" i="49"/>
  <c r="B74" i="50"/>
  <c r="F223" i="49"/>
  <c r="D223" i="49"/>
  <c r="B51" i="50"/>
  <c r="D138" i="49"/>
  <c r="F138" i="49"/>
  <c r="D229" i="49"/>
  <c r="F229" i="49"/>
  <c r="K349" i="49"/>
  <c r="B349" i="49" s="1"/>
  <c r="F95" i="50"/>
  <c r="D95" i="50"/>
  <c r="F368" i="49"/>
  <c r="W368" i="49"/>
  <c r="D368" i="49" s="1"/>
  <c r="D187" i="49"/>
  <c r="B70" i="50"/>
  <c r="F187" i="49"/>
  <c r="F144" i="49"/>
  <c r="B60" i="50"/>
  <c r="D144" i="49"/>
  <c r="B103" i="49"/>
  <c r="H39" i="50"/>
  <c r="I61" i="50" s="1"/>
  <c r="D182" i="49"/>
  <c r="B68" i="50"/>
  <c r="F182" i="49"/>
  <c r="F26" i="51"/>
  <c r="D26" i="51"/>
  <c r="D105" i="49"/>
  <c r="F105" i="49"/>
  <c r="B61" i="51"/>
  <c r="B128" i="50"/>
  <c r="F394" i="49"/>
  <c r="W394" i="49"/>
  <c r="D394" i="49" s="1"/>
  <c r="F59" i="50"/>
  <c r="D59" i="50"/>
  <c r="D135" i="49"/>
  <c r="B49" i="50"/>
  <c r="F135" i="49"/>
  <c r="D32" i="54"/>
  <c r="F32" i="54"/>
  <c r="D94" i="50"/>
  <c r="F94" i="50"/>
  <c r="B224" i="49"/>
  <c r="H75" i="50"/>
  <c r="I98" i="50" s="1"/>
  <c r="F57" i="50"/>
  <c r="D57" i="50"/>
  <c r="F26" i="50"/>
  <c r="D26" i="50"/>
  <c r="F61" i="54"/>
  <c r="D61" i="54"/>
  <c r="Z386" i="49"/>
  <c r="B58" i="51"/>
  <c r="B125" i="50"/>
  <c r="F382" i="49"/>
  <c r="W382" i="49"/>
  <c r="D382" i="49" s="1"/>
  <c r="AA386" i="49" s="1"/>
  <c r="B99" i="50"/>
  <c r="F289" i="49"/>
  <c r="B32" i="51"/>
  <c r="D289" i="49"/>
  <c r="F323" i="49"/>
  <c r="F58" i="50"/>
  <c r="D58" i="50"/>
  <c r="K412" i="49"/>
  <c r="M412" i="49" s="1"/>
  <c r="D128" i="49"/>
  <c r="B46" i="50"/>
  <c r="F128" i="49"/>
  <c r="D262" i="49"/>
  <c r="B90" i="50"/>
  <c r="F262" i="49"/>
  <c r="D66" i="49"/>
  <c r="B34" i="50"/>
  <c r="F66" i="49"/>
  <c r="D263" i="49"/>
  <c r="B91" i="50"/>
  <c r="F263" i="49"/>
  <c r="D123" i="49"/>
  <c r="F123" i="49"/>
  <c r="B45" i="50"/>
  <c r="D32" i="49"/>
  <c r="AA33" i="49" s="1"/>
  <c r="F32" i="49"/>
  <c r="D180" i="49"/>
  <c r="F180" i="49"/>
  <c r="B67" i="50"/>
  <c r="D25" i="54"/>
  <c r="F25" i="54"/>
  <c r="B66" i="50"/>
  <c r="D176" i="49"/>
  <c r="F176" i="49"/>
  <c r="D239" i="49"/>
  <c r="B80" i="50"/>
  <c r="F239" i="49"/>
  <c r="B52" i="50"/>
  <c r="F139" i="49"/>
  <c r="D139" i="49"/>
  <c r="D47" i="49"/>
  <c r="AA47" i="49" s="1"/>
  <c r="F47" i="49"/>
  <c r="Z47" i="49"/>
  <c r="D266" i="49"/>
  <c r="B97" i="50"/>
  <c r="F266" i="49"/>
  <c r="B62" i="54"/>
  <c r="M397" i="49"/>
  <c r="B397" i="49"/>
  <c r="F8" i="49"/>
  <c r="D142" i="49"/>
  <c r="F142" i="49"/>
  <c r="B55" i="50"/>
  <c r="D43" i="50"/>
  <c r="F43" i="50"/>
  <c r="F22" i="54"/>
  <c r="D22" i="54"/>
  <c r="M418" i="49"/>
  <c r="I413" i="49" s="1"/>
  <c r="K413" i="49" s="1"/>
  <c r="M413" i="49" s="1"/>
  <c r="D286" i="49"/>
  <c r="B98" i="50"/>
  <c r="F286" i="49"/>
  <c r="M416" i="49" l="1"/>
  <c r="F20" i="51"/>
  <c r="I416" i="49"/>
  <c r="Z379" i="49"/>
  <c r="B399" i="49"/>
  <c r="F349" i="49"/>
  <c r="B123" i="50"/>
  <c r="B56" i="51"/>
  <c r="W349" i="49"/>
  <c r="D349" i="49" s="1"/>
  <c r="D224" i="49"/>
  <c r="B75" i="50"/>
  <c r="J98" i="50" s="1"/>
  <c r="F224" i="49"/>
  <c r="Z287" i="49"/>
  <c r="F38" i="50"/>
  <c r="D38" i="50"/>
  <c r="F57" i="51"/>
  <c r="D57" i="51"/>
  <c r="E4" i="54"/>
  <c r="B12" i="54"/>
  <c r="F25" i="51"/>
  <c r="D25" i="51"/>
  <c r="F67" i="50"/>
  <c r="D67" i="50"/>
  <c r="D99" i="50"/>
  <c r="F99" i="50"/>
  <c r="F103" i="49"/>
  <c r="B39" i="50"/>
  <c r="D103" i="49"/>
  <c r="F54" i="50"/>
  <c r="D54" i="50"/>
  <c r="F81" i="50"/>
  <c r="D81" i="50"/>
  <c r="F96" i="50"/>
  <c r="D96" i="50"/>
  <c r="F28" i="54"/>
  <c r="D28" i="54"/>
  <c r="B49" i="54"/>
  <c r="F66" i="50"/>
  <c r="D66" i="50"/>
  <c r="B28" i="51"/>
  <c r="D126" i="50"/>
  <c r="F126" i="50"/>
  <c r="D107" i="49"/>
  <c r="F107" i="49"/>
  <c r="D34" i="50"/>
  <c r="F34" i="50"/>
  <c r="B62" i="51"/>
  <c r="B129" i="50"/>
  <c r="F397" i="49"/>
  <c r="W397" i="49"/>
  <c r="D397" i="49" s="1"/>
  <c r="AA397" i="49" s="1"/>
  <c r="F52" i="50"/>
  <c r="D52" i="50"/>
  <c r="B31" i="51"/>
  <c r="F90" i="50"/>
  <c r="D90" i="50"/>
  <c r="D60" i="50"/>
  <c r="F60" i="50"/>
  <c r="D87" i="50"/>
  <c r="F87" i="50"/>
  <c r="D33" i="50"/>
  <c r="F33" i="50"/>
  <c r="F59" i="51"/>
  <c r="D59" i="51"/>
  <c r="F31" i="54"/>
  <c r="D31" i="54"/>
  <c r="Z168" i="49"/>
  <c r="B313" i="49"/>
  <c r="G253" i="49" s="1"/>
  <c r="F91" i="50"/>
  <c r="D91" i="50"/>
  <c r="D51" i="50"/>
  <c r="F51" i="50"/>
  <c r="D22" i="51"/>
  <c r="F22" i="51"/>
  <c r="F61" i="50"/>
  <c r="D61" i="50"/>
  <c r="F225" i="49"/>
  <c r="D225" i="49"/>
  <c r="F62" i="54"/>
  <c r="F63" i="54" s="1"/>
  <c r="D62" i="54"/>
  <c r="D63" i="54" s="1"/>
  <c r="F25" i="50"/>
  <c r="D25" i="50"/>
  <c r="F125" i="50"/>
  <c r="D125" i="50"/>
  <c r="F128" i="50"/>
  <c r="D128" i="50"/>
  <c r="F115" i="50"/>
  <c r="D115" i="50"/>
  <c r="F80" i="50"/>
  <c r="D80" i="50"/>
  <c r="F46" i="50"/>
  <c r="D46" i="50"/>
  <c r="F58" i="51"/>
  <c r="D58" i="51"/>
  <c r="F49" i="50"/>
  <c r="D49" i="50"/>
  <c r="F61" i="51"/>
  <c r="D61" i="51"/>
  <c r="D68" i="50"/>
  <c r="F68" i="50"/>
  <c r="F70" i="50"/>
  <c r="D70" i="50"/>
  <c r="D48" i="51"/>
  <c r="F48" i="51"/>
  <c r="E4" i="50"/>
  <c r="B12" i="50"/>
  <c r="F98" i="50"/>
  <c r="D98" i="50"/>
  <c r="F55" i="50"/>
  <c r="D55" i="50"/>
  <c r="F97" i="50"/>
  <c r="D97" i="50"/>
  <c r="F45" i="50"/>
  <c r="D45" i="50"/>
  <c r="D32" i="51"/>
  <c r="F32" i="51"/>
  <c r="Z397" i="49"/>
  <c r="F74" i="50"/>
  <c r="D74" i="50"/>
  <c r="D22" i="50"/>
  <c r="F22" i="50"/>
  <c r="B63" i="54"/>
  <c r="D93" i="50"/>
  <c r="F93" i="50"/>
  <c r="F82" i="50"/>
  <c r="D82" i="50"/>
  <c r="F124" i="50"/>
  <c r="D124" i="50"/>
  <c r="F92" i="50"/>
  <c r="D92" i="50"/>
  <c r="E4" i="51"/>
  <c r="B12" i="51"/>
  <c r="G48" i="49" l="1"/>
  <c r="G132" i="49"/>
  <c r="AA168" i="49"/>
  <c r="G397" i="49"/>
  <c r="G361" i="49"/>
  <c r="F313" i="49"/>
  <c r="F404" i="49" s="1"/>
  <c r="AA287" i="49"/>
  <c r="AA313" i="49" s="1"/>
  <c r="AB323" i="49" s="1"/>
  <c r="Z399" i="49"/>
  <c r="Z313" i="49"/>
  <c r="B65" i="54"/>
  <c r="F72" i="54" s="1"/>
  <c r="F28" i="51"/>
  <c r="D28" i="51"/>
  <c r="D39" i="50"/>
  <c r="F39" i="50"/>
  <c r="G118" i="49"/>
  <c r="G147" i="49"/>
  <c r="G69" i="49"/>
  <c r="G155" i="49"/>
  <c r="G208" i="49"/>
  <c r="G286" i="49"/>
  <c r="G24" i="49"/>
  <c r="G93" i="49"/>
  <c r="G271" i="49"/>
  <c r="G161" i="49"/>
  <c r="G104" i="49"/>
  <c r="G174" i="49"/>
  <c r="G218" i="49"/>
  <c r="G124" i="49"/>
  <c r="G57" i="49"/>
  <c r="G115" i="49"/>
  <c r="G148" i="49"/>
  <c r="G237" i="49"/>
  <c r="G83" i="49"/>
  <c r="G44" i="49"/>
  <c r="G74" i="49"/>
  <c r="G217" i="49"/>
  <c r="G42" i="49"/>
  <c r="G255" i="49"/>
  <c r="G70" i="49"/>
  <c r="G28" i="49"/>
  <c r="G277" i="49"/>
  <c r="G235" i="49"/>
  <c r="G114" i="49"/>
  <c r="G55" i="49"/>
  <c r="G157" i="49"/>
  <c r="G166" i="49"/>
  <c r="G212" i="49"/>
  <c r="G97" i="49"/>
  <c r="G269" i="49"/>
  <c r="G179" i="49"/>
  <c r="G47" i="49"/>
  <c r="G121" i="49"/>
  <c r="G156" i="49"/>
  <c r="G141" i="49"/>
  <c r="G92" i="49"/>
  <c r="G257" i="49"/>
  <c r="G88" i="49"/>
  <c r="G231" i="49"/>
  <c r="G62" i="49"/>
  <c r="G67" i="49"/>
  <c r="G195" i="49"/>
  <c r="G102" i="49"/>
  <c r="G260" i="49"/>
  <c r="G128" i="49"/>
  <c r="G275" i="49"/>
  <c r="G64" i="49"/>
  <c r="G294" i="49"/>
  <c r="G137" i="49"/>
  <c r="G90" i="49"/>
  <c r="G274" i="49"/>
  <c r="G105" i="49"/>
  <c r="G177" i="49"/>
  <c r="G220" i="49"/>
  <c r="G56" i="49"/>
  <c r="G45" i="49"/>
  <c r="G113" i="49"/>
  <c r="G158" i="49"/>
  <c r="G199" i="49"/>
  <c r="G135" i="49"/>
  <c r="G188" i="49"/>
  <c r="G236" i="49"/>
  <c r="B409" i="49"/>
  <c r="G87" i="49"/>
  <c r="G250" i="49"/>
  <c r="G154" i="49"/>
  <c r="G116" i="49"/>
  <c r="G117" i="49"/>
  <c r="G303" i="49"/>
  <c r="G185" i="49"/>
  <c r="G133" i="49"/>
  <c r="G204" i="49"/>
  <c r="G143" i="49"/>
  <c r="G94" i="49"/>
  <c r="G295" i="49"/>
  <c r="G202" i="49"/>
  <c r="G122" i="49"/>
  <c r="G98" i="49"/>
  <c r="G31" i="49"/>
  <c r="G292" i="49"/>
  <c r="G153" i="49"/>
  <c r="G142" i="49"/>
  <c r="G181" i="49"/>
  <c r="G230" i="49"/>
  <c r="G51" i="49"/>
  <c r="G60" i="49"/>
  <c r="G119" i="49"/>
  <c r="G162" i="49"/>
  <c r="G194" i="49"/>
  <c r="G244" i="49"/>
  <c r="G201" i="49"/>
  <c r="G240" i="49"/>
  <c r="G22" i="49"/>
  <c r="G91" i="49"/>
  <c r="G284" i="49"/>
  <c r="G193" i="49"/>
  <c r="G192" i="49"/>
  <c r="G65" i="49"/>
  <c r="G130" i="49"/>
  <c r="G307" i="49"/>
  <c r="G211" i="49"/>
  <c r="G258" i="49"/>
  <c r="G222" i="49"/>
  <c r="G173" i="49"/>
  <c r="G75" i="49"/>
  <c r="G110" i="49"/>
  <c r="G300" i="49"/>
  <c r="G219" i="49"/>
  <c r="G251" i="49"/>
  <c r="G136" i="49"/>
  <c r="G252" i="49"/>
  <c r="G81" i="49"/>
  <c r="G311" i="49"/>
  <c r="G189" i="49"/>
  <c r="G196" i="49"/>
  <c r="G238" i="49"/>
  <c r="G61" i="49"/>
  <c r="G85" i="49"/>
  <c r="G285" i="49"/>
  <c r="G149" i="49"/>
  <c r="G72" i="49"/>
  <c r="G210" i="49"/>
  <c r="G30" i="49"/>
  <c r="G36" i="49"/>
  <c r="G99" i="49"/>
  <c r="G270" i="49"/>
  <c r="G215" i="49"/>
  <c r="G37" i="49"/>
  <c r="G254" i="49"/>
  <c r="G278" i="49"/>
  <c r="G276" i="49"/>
  <c r="G301" i="49"/>
  <c r="G152" i="49"/>
  <c r="G200" i="49"/>
  <c r="B404" i="49"/>
  <c r="G131" i="49"/>
  <c r="G308" i="49"/>
  <c r="G58" i="49"/>
  <c r="G297" i="49"/>
  <c r="G243" i="49"/>
  <c r="G287" i="49"/>
  <c r="G197" i="49"/>
  <c r="G216" i="49"/>
  <c r="G89" i="49"/>
  <c r="G191" i="49"/>
  <c r="G232" i="49"/>
  <c r="G111" i="49"/>
  <c r="G207" i="49"/>
  <c r="G299" i="49"/>
  <c r="G310" i="49"/>
  <c r="G50" i="49"/>
  <c r="G176" i="49"/>
  <c r="G213" i="49"/>
  <c r="G38" i="49"/>
  <c r="G109" i="49"/>
  <c r="G245" i="49"/>
  <c r="G228" i="49"/>
  <c r="G178" i="49"/>
  <c r="G25" i="49"/>
  <c r="G76" i="49"/>
  <c r="G234" i="49"/>
  <c r="G78" i="49"/>
  <c r="G127" i="49"/>
  <c r="G21" i="49"/>
  <c r="G241" i="49"/>
  <c r="G227" i="49"/>
  <c r="G242" i="49"/>
  <c r="G125" i="49"/>
  <c r="G280" i="49"/>
  <c r="G71" i="49"/>
  <c r="G282" i="49"/>
  <c r="G29" i="49"/>
  <c r="G77" i="49"/>
  <c r="G279" i="49"/>
  <c r="G86" i="49"/>
  <c r="G265" i="49"/>
  <c r="G298" i="49"/>
  <c r="G256" i="49"/>
  <c r="G79" i="49"/>
  <c r="G283" i="49"/>
  <c r="G139" i="49"/>
  <c r="G66" i="49"/>
  <c r="G268" i="49"/>
  <c r="G23" i="49"/>
  <c r="G145" i="49"/>
  <c r="G190" i="49"/>
  <c r="G120" i="49"/>
  <c r="G96" i="49"/>
  <c r="G53" i="49"/>
  <c r="G172" i="49"/>
  <c r="G46" i="49"/>
  <c r="G43" i="49"/>
  <c r="G68" i="49"/>
  <c r="G39" i="49"/>
  <c r="G182" i="49"/>
  <c r="G290" i="49"/>
  <c r="G126" i="49"/>
  <c r="G203" i="49"/>
  <c r="G80" i="49"/>
  <c r="G273" i="49"/>
  <c r="G95" i="49"/>
  <c r="G171" i="49"/>
  <c r="G291" i="49"/>
  <c r="G239" i="49"/>
  <c r="G198" i="49"/>
  <c r="G33" i="49"/>
  <c r="G134" i="49"/>
  <c r="G150" i="49"/>
  <c r="G168" i="49"/>
  <c r="G26" i="49"/>
  <c r="G164" i="49"/>
  <c r="G59" i="49"/>
  <c r="G233" i="49"/>
  <c r="G35" i="49"/>
  <c r="G248" i="49"/>
  <c r="G266" i="49"/>
  <c r="G302" i="49"/>
  <c r="B401" i="49"/>
  <c r="G183" i="49"/>
  <c r="G101" i="49"/>
  <c r="G305" i="49"/>
  <c r="G246" i="49"/>
  <c r="G129" i="49"/>
  <c r="G186" i="49"/>
  <c r="G41" i="49"/>
  <c r="G159" i="49"/>
  <c r="G206" i="49"/>
  <c r="G82" i="49"/>
  <c r="G263" i="49"/>
  <c r="G247" i="49"/>
  <c r="G112" i="49"/>
  <c r="G209" i="49"/>
  <c r="G304" i="49"/>
  <c r="G73" i="49"/>
  <c r="G306" i="49"/>
  <c r="G163" i="49"/>
  <c r="G214" i="49"/>
  <c r="G262" i="49"/>
  <c r="G167" i="49"/>
  <c r="G223" i="49"/>
  <c r="G289" i="49"/>
  <c r="G32" i="49"/>
  <c r="G259" i="49"/>
  <c r="G264" i="49"/>
  <c r="G123" i="49"/>
  <c r="G108" i="49"/>
  <c r="G226" i="49"/>
  <c r="G138" i="49"/>
  <c r="G144" i="49"/>
  <c r="G106" i="49"/>
  <c r="G229" i="49"/>
  <c r="G187" i="49"/>
  <c r="G249" i="49"/>
  <c r="G180" i="49"/>
  <c r="G293" i="49"/>
  <c r="D75" i="50"/>
  <c r="F75" i="50"/>
  <c r="AA379" i="49"/>
  <c r="AA399" i="49" s="1"/>
  <c r="D399" i="49"/>
  <c r="G225" i="49"/>
  <c r="D313" i="49"/>
  <c r="D56" i="51"/>
  <c r="F56" i="51"/>
  <c r="B63" i="51"/>
  <c r="F129" i="50"/>
  <c r="D129" i="50"/>
  <c r="F73" i="54"/>
  <c r="D73" i="54"/>
  <c r="F123" i="50"/>
  <c r="B130" i="50"/>
  <c r="D123" i="50"/>
  <c r="G369" i="49"/>
  <c r="G347" i="49"/>
  <c r="G359" i="49"/>
  <c r="G344" i="49"/>
  <c r="G356" i="49"/>
  <c r="G343" i="49"/>
  <c r="G332" i="49"/>
  <c r="G341" i="49"/>
  <c r="G364" i="49"/>
  <c r="G379" i="49"/>
  <c r="G391" i="49"/>
  <c r="G320" i="49"/>
  <c r="G385" i="49"/>
  <c r="G337" i="49"/>
  <c r="G374" i="49"/>
  <c r="G384" i="49"/>
  <c r="G316" i="49"/>
  <c r="G358" i="49"/>
  <c r="G330" i="49"/>
  <c r="G352" i="49"/>
  <c r="G373" i="49"/>
  <c r="G346" i="49"/>
  <c r="G355" i="49"/>
  <c r="G362" i="49"/>
  <c r="G317" i="49"/>
  <c r="G357" i="49"/>
  <c r="G377" i="49"/>
  <c r="G342" i="49"/>
  <c r="G331" i="49"/>
  <c r="G345" i="49"/>
  <c r="G375" i="49"/>
  <c r="G389" i="49"/>
  <c r="G333" i="49"/>
  <c r="G350" i="49"/>
  <c r="G392" i="49"/>
  <c r="G348" i="49"/>
  <c r="G334" i="49"/>
  <c r="G336" i="49"/>
  <c r="G396" i="49"/>
  <c r="G339" i="49"/>
  <c r="G370" i="49"/>
  <c r="G383" i="49"/>
  <c r="G319" i="49"/>
  <c r="G360" i="49"/>
  <c r="G329" i="49"/>
  <c r="G340" i="49"/>
  <c r="G372" i="49"/>
  <c r="G386" i="49"/>
  <c r="G321" i="49"/>
  <c r="G381" i="49"/>
  <c r="G363" i="49"/>
  <c r="G338" i="49"/>
  <c r="G393" i="49"/>
  <c r="G318" i="49"/>
  <c r="G367" i="49"/>
  <c r="G351" i="49"/>
  <c r="G353" i="49"/>
  <c r="G354" i="49"/>
  <c r="G365" i="49"/>
  <c r="G378" i="49"/>
  <c r="G371" i="49"/>
  <c r="G394" i="49"/>
  <c r="G382" i="49"/>
  <c r="G368" i="49"/>
  <c r="G366" i="49"/>
  <c r="G387" i="49"/>
  <c r="G107" i="49"/>
  <c r="F12" i="51"/>
  <c r="D12" i="51"/>
  <c r="B49" i="51"/>
  <c r="B68" i="51" s="1"/>
  <c r="J61" i="50"/>
  <c r="B116" i="50"/>
  <c r="B135" i="50" s="1"/>
  <c r="F12" i="50"/>
  <c r="D12" i="50"/>
  <c r="F62" i="51"/>
  <c r="D62" i="51"/>
  <c r="D49" i="54"/>
  <c r="D65" i="54" s="1"/>
  <c r="G103" i="49"/>
  <c r="G349" i="49"/>
  <c r="F31" i="51"/>
  <c r="D31" i="51"/>
  <c r="F49" i="54"/>
  <c r="F65" i="54" s="1"/>
  <c r="G224" i="49"/>
  <c r="F399" i="49"/>
  <c r="F12" i="54"/>
  <c r="D12" i="54"/>
  <c r="B68" i="54"/>
  <c r="D116" i="50" l="1"/>
  <c r="D135" i="50" s="1"/>
  <c r="F409" i="49"/>
  <c r="F401" i="49"/>
  <c r="F408" i="49" s="1"/>
  <c r="AC399" i="49"/>
  <c r="F130" i="50"/>
  <c r="D63" i="51"/>
  <c r="D72" i="54"/>
  <c r="F67" i="54"/>
  <c r="B67" i="54"/>
  <c r="F116" i="50"/>
  <c r="F135" i="50" s="1"/>
  <c r="D49" i="51"/>
  <c r="D67" i="54"/>
  <c r="D68" i="54"/>
  <c r="D73" i="51"/>
  <c r="F73" i="51"/>
  <c r="D130" i="50"/>
  <c r="B132" i="50"/>
  <c r="B65" i="51"/>
  <c r="F49" i="51"/>
  <c r="F68" i="51" s="1"/>
  <c r="F63" i="51"/>
  <c r="G399" i="49"/>
  <c r="B417" i="49"/>
  <c r="B413" i="49"/>
  <c r="F140" i="50"/>
  <c r="D140" i="50"/>
  <c r="D404" i="49"/>
  <c r="D401" i="49"/>
  <c r="D409" i="49"/>
  <c r="G313" i="49"/>
  <c r="F68" i="54"/>
  <c r="G323" i="49"/>
  <c r="B408" i="49"/>
  <c r="B403" i="49"/>
  <c r="D132" i="50" l="1"/>
  <c r="D134" i="50" s="1"/>
  <c r="F403" i="49"/>
  <c r="D65" i="51"/>
  <c r="D67" i="51" s="1"/>
  <c r="F132" i="50"/>
  <c r="F134" i="50" s="1"/>
  <c r="D68" i="51"/>
  <c r="D408" i="49"/>
  <c r="D403" i="49"/>
  <c r="D72" i="51"/>
  <c r="F72" i="51"/>
  <c r="B67" i="51"/>
  <c r="B416" i="49"/>
  <c r="B412" i="49"/>
  <c r="B134" i="50"/>
  <c r="F139" i="50"/>
  <c r="D139" i="50"/>
  <c r="F65" i="51"/>
  <c r="F67" i="51" s="1"/>
</calcChain>
</file>

<file path=xl/comments1.xml><?xml version="1.0" encoding="utf-8"?>
<comments xmlns="http://schemas.openxmlformats.org/spreadsheetml/2006/main">
  <authors>
    <author>Sensei</author>
    <author>School of Economics</author>
  </authors>
  <commentList>
    <comment ref="F19" authorId="0" shapeId="0">
      <text>
        <r>
          <rPr>
            <b/>
            <sz val="9"/>
            <color indexed="81"/>
            <rFont val="Tahoma"/>
            <family val="2"/>
          </rPr>
          <t>Experimental density was 1 seedling per sq.ft. but this could be increased to 2 sq.ft. per seedling to decrease costs.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6" authorId="1" shapeId="0">
      <text>
        <r>
          <rPr>
            <b/>
            <sz val="8"/>
            <color indexed="81"/>
            <rFont val="Tahoma"/>
            <family val="2"/>
          </rPr>
          <t>Use best estimate of undeveloped land / farmland in NH. Old value assumed for ME was $1,000/acre.</t>
        </r>
      </text>
    </comment>
    <comment ref="J48" authorId="1" shapeId="0">
      <text>
        <r>
          <rPr>
            <b/>
            <sz val="8"/>
            <color indexed="81"/>
            <rFont val="Tahoma"/>
            <family val="2"/>
          </rPr>
          <t>Assume this.</t>
        </r>
      </text>
    </comment>
  </commentList>
</comments>
</file>

<file path=xl/comments2.xml><?xml version="1.0" encoding="utf-8"?>
<comments xmlns="http://schemas.openxmlformats.org/spreadsheetml/2006/main">
  <authors>
    <author>Sensei</author>
    <author xml:space="preserve"> </author>
    <author>School of Economics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Assume this is 1%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UNH plots:
1) 2009 - 40x50 = 2,000 sq.ft.
2) 2011 - a) 8 plots (7x10 = 70 sq.ft.) so = 560 sq.ft.
b) 40 plots (5.5x10 = 55 sq.ft.) so = 40x55 = 2,200 sq.ft.
3) 2013 - 24 plots (10x10 ft = 100 sq.ft.) so 24 x 100 = 2,400 sq.ft.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UNH plots:
1) 2009 - 40x50 = 2,000 sq.ft.
2) 2011 - a) 8 plots (7x10 = 70 sq.ft.) so = 560 sq.ft.
b) 40 plots (5.5x10 = 55 sq.ft.) so = 40x55 = 2,200 sq.ft.
3) 2013 - 24 plots (10x10 ft = 100 sq.ft.) so 24 x 100 = 2,400 sq.ft.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1" shapeId="0">
      <text>
        <r>
          <rPr>
            <b/>
            <sz val="8"/>
            <color indexed="81"/>
            <rFont val="Tahoma"/>
            <family val="2"/>
          </rPr>
          <t>Old value of $8/hour changed to be cnosistent with other crop budgets. Old value of $12/hour. Use Master Gardeners' volunteer proxy of $15/hour.</t>
        </r>
      </text>
    </comment>
    <comment ref="AH2" authorId="0" shapeId="0">
      <text>
        <r>
          <rPr>
            <b/>
            <sz val="9"/>
            <color indexed="81"/>
            <rFont val="Tahoma"/>
            <charset val="1"/>
          </rPr>
          <t xml:space="preserve">UNH:
84.6167832052247
</t>
        </r>
      </text>
    </comment>
    <comment ref="AM2" authorId="0" shapeId="0">
      <text>
        <r>
          <rPr>
            <b/>
            <sz val="9"/>
            <color indexed="81"/>
            <rFont val="Tahoma"/>
            <charset val="1"/>
          </rPr>
          <t xml:space="preserve">UNH:
84.6167832052247
</t>
        </r>
      </text>
    </comment>
    <comment ref="AH3" authorId="0" shapeId="0">
      <text>
        <r>
          <rPr>
            <b/>
            <sz val="9"/>
            <color indexed="81"/>
            <rFont val="Tahoma"/>
            <charset val="1"/>
          </rPr>
          <t xml:space="preserve">UNH:
84.6167832052247
</t>
        </r>
      </text>
    </comment>
    <comment ref="AM3" authorId="0" shapeId="0">
      <text>
        <r>
          <rPr>
            <b/>
            <sz val="9"/>
            <color indexed="81"/>
            <rFont val="Tahoma"/>
            <charset val="1"/>
          </rPr>
          <t xml:space="preserve">UNH:
84.6167832052247
</t>
        </r>
      </text>
    </comment>
    <comment ref="R4" authorId="2" shapeId="0">
      <text>
        <r>
          <rPr>
            <sz val="8"/>
            <color indexed="81"/>
            <rFont val="Tahoma"/>
            <family val="2"/>
          </rPr>
          <t>=(165*10)/43560</t>
        </r>
      </text>
    </comment>
    <comment ref="W4" authorId="2" shapeId="0">
      <text>
        <r>
          <rPr>
            <sz val="8"/>
            <color indexed="81"/>
            <rFont val="Tahoma"/>
            <family val="2"/>
          </rPr>
          <t>=(165*10)/43560</t>
        </r>
      </text>
    </comment>
    <comment ref="AC4" authorId="2" shapeId="0">
      <text>
        <r>
          <rPr>
            <sz val="8"/>
            <color indexed="81"/>
            <rFont val="Tahoma"/>
            <family val="2"/>
          </rPr>
          <t>=(165*10)/43560</t>
        </r>
      </text>
    </comment>
    <comment ref="AE4" authorId="2" shapeId="0">
      <text>
        <r>
          <rPr>
            <sz val="8"/>
            <color indexed="81"/>
            <rFont val="Tahoma"/>
            <family val="2"/>
          </rPr>
          <t>=(165*10)/43560</t>
        </r>
      </text>
    </comment>
    <comment ref="AJ4" authorId="2" shapeId="0">
      <text>
        <r>
          <rPr>
            <sz val="8"/>
            <color indexed="81"/>
            <rFont val="Tahoma"/>
            <family val="2"/>
          </rPr>
          <t>=(165*10)/43560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Not part of UNH experiment so system not scientifically verified but this method has been used by a cooperating farmer.
2 seed types:
1) 8 lb/acre x $81.90/lb = $655/acre
2) 1 lb/acre x $80/lb = $80/acre
Total of $735/acre for seed mix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Use 2-3 sprays over establishment.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Use 2-3 sprays over establishment.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Use 2-3 sprays over establishment.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Recommend using 1-2 pints per acre</t>
        </r>
      </text>
    </comment>
    <comment ref="K39" authorId="0" shapeId="0">
      <text>
        <r>
          <rPr>
            <b/>
            <sz val="9"/>
            <color indexed="81"/>
            <rFont val="Tahoma"/>
            <charset val="1"/>
          </rPr>
          <t>Old value:
=IF($F$1=0,AVERAGE(T39:U39),0)</t>
        </r>
      </text>
    </comment>
    <comment ref="V39" authorId="0" shapeId="0">
      <text>
        <r>
          <rPr>
            <b/>
            <sz val="9"/>
            <color indexed="81"/>
            <rFont val="Tahoma"/>
            <family val="2"/>
          </rPr>
          <t>Experimental density was 1 seedling per sq.ft. but this could be increased to 2 sq.ft. per seedling to decrease costs.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1" authorId="2" shapeId="0">
      <text>
        <r>
          <rPr>
            <sz val="8"/>
            <color indexed="81"/>
            <rFont val="Tahoma"/>
            <family val="2"/>
          </rPr>
          <t>Johnny's.</t>
        </r>
      </text>
    </comment>
    <comment ref="K42" authorId="2" shapeId="0">
      <text>
        <r>
          <rPr>
            <sz val="8"/>
            <color indexed="81"/>
            <rFont val="Tahoma"/>
            <family val="2"/>
          </rPr>
          <t>Fedco.</t>
        </r>
      </text>
    </comment>
    <comment ref="A43" authorId="2" shapeId="0">
      <text>
        <r>
          <rPr>
            <sz val="8"/>
            <color indexed="81"/>
            <rFont val="Tahoma"/>
            <family val="2"/>
          </rPr>
          <t>Attractive to long tongue species.</t>
        </r>
      </text>
    </comment>
    <comment ref="K43" authorId="2" shapeId="0">
      <text>
        <r>
          <rPr>
            <sz val="8"/>
            <color indexed="81"/>
            <rFont val="Tahoma"/>
            <family val="2"/>
          </rPr>
          <t>Johnny's.</t>
        </r>
      </text>
    </comment>
    <comment ref="K45" authorId="2" shapeId="0">
      <text>
        <r>
          <rPr>
            <sz val="8"/>
            <color indexed="81"/>
            <rFont val="Tahoma"/>
            <family val="2"/>
          </rPr>
          <t>Fedco.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For all UNH bee pasture plots, this was about $1,000-1,500 total. Since mixed from scratch, lots of seed in freezer still.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For all UNH bee pasture plots, this was about $1,000-1,500 total. Since mixed from scratch, lots of seed in freezer still.</t>
        </r>
      </text>
    </comment>
    <comment ref="K47" authorId="0" shapeId="0">
      <text>
        <r>
          <rPr>
            <b/>
            <sz val="9"/>
            <color indexed="81"/>
            <rFont val="Tahoma"/>
            <charset val="1"/>
          </rPr>
          <t xml:space="preserve">Old value:
=IF($F$1=0,Y47,0)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Using 2 cups per 25 square foot area equates to using 24 cups per 300 square foot area or 12 pints or 6 quarts or 1.5 gallons. Thus for a 300 square foot area this is equivalent to roughly 2 bucket trips of seed mixed with vermiculite. The seed adheres to the vermiculite when moistened for more even distribution of seed to the area being planted.</t>
        </r>
      </text>
    </comment>
    <comment ref="H55" authorId="1" shapeId="0">
      <text>
        <r>
          <rPr>
            <b/>
            <sz val="8"/>
            <color indexed="81"/>
            <rFont val="Tahoma"/>
            <family val="2"/>
          </rPr>
          <t>Assume this is fixed.</t>
        </r>
      </text>
    </comment>
    <comment ref="S56" authorId="1" shapeId="0">
      <text>
        <r>
          <rPr>
            <b/>
            <sz val="8"/>
            <color indexed="81"/>
            <rFont val="Tahoma"/>
            <family val="2"/>
          </rPr>
          <t>Assume this is fixed.</t>
        </r>
      </text>
    </comment>
    <comment ref="S57" authorId="1" shapeId="0">
      <text>
        <r>
          <rPr>
            <b/>
            <sz val="8"/>
            <color indexed="81"/>
            <rFont val="Tahoma"/>
            <family val="2"/>
          </rPr>
          <t>Assume this is fixed.</t>
        </r>
      </text>
    </comment>
    <comment ref="S61" authorId="1" shapeId="0">
      <text>
        <r>
          <rPr>
            <b/>
            <sz val="8"/>
            <color indexed="81"/>
            <rFont val="Tahoma"/>
            <family val="2"/>
          </rPr>
          <t>Assume this is fixed.</t>
        </r>
      </text>
    </comment>
    <comment ref="S62" authorId="1" shapeId="0">
      <text>
        <r>
          <rPr>
            <b/>
            <sz val="8"/>
            <color indexed="81"/>
            <rFont val="Tahoma"/>
            <family val="2"/>
          </rPr>
          <t>Assume this is fixed.</t>
        </r>
      </text>
    </comment>
    <comment ref="M65" authorId="0" shapeId="0">
      <text>
        <r>
          <rPr>
            <b/>
            <sz val="9"/>
            <color indexed="81"/>
            <rFont val="Tahoma"/>
            <family val="2"/>
          </rPr>
          <t>Assume similar to backpack sprayer so 10 hours per acre.</t>
        </r>
      </text>
    </comment>
    <comment ref="T66" authorId="0" shapeId="0">
      <text>
        <r>
          <rPr>
            <b/>
            <sz val="9"/>
            <color indexed="81"/>
            <rFont val="Tahoma"/>
            <family val="2"/>
          </rPr>
          <t>15 minutes to set up and 10 minutes to pickup blocks and 10 minutes to pull up plastic.
Need 2 total people for this time.</t>
        </r>
      </text>
    </comment>
    <comment ref="T68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8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9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0" authorId="0" shape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70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1" authorId="0" shape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71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2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3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3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4" authorId="0" shape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5" authorId="0" shape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75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6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6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7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7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8" authorId="0" shape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78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9" authorId="0" shape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79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0" authorId="2" shapeId="0">
      <text>
        <r>
          <rPr>
            <b/>
            <sz val="8"/>
            <color indexed="81"/>
            <rFont val="Tahoma"/>
            <family val="2"/>
          </rPr>
          <t>Once every mnnth for 4 months.</t>
        </r>
      </text>
    </comment>
    <comment ref="A86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87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90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91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2" authorId="0" shapeId="0">
      <text>
        <r>
          <rPr>
            <b/>
            <sz val="9"/>
            <color indexed="81"/>
            <rFont val="Tahoma"/>
            <family val="2"/>
          </rPr>
          <t>1.5-2 minutes per pass for 2 passes plus 5 minutes to mix chemicals and 5 minutes to clean up.
Need 1 person for this time.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3" authorId="0" shapeId="0">
      <text>
        <r>
          <rPr>
            <b/>
            <sz val="9"/>
            <color indexed="81"/>
            <rFont val="Tahoma"/>
            <family val="2"/>
          </rPr>
          <t>1 to 1.5 minute per pass for 10 passes.
Need 1 person for this time.
Assume 1st tillage is more in same proportion as tractor tillage.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4" authorId="0" shapeId="0">
      <text>
        <r>
          <rPr>
            <b/>
            <sz val="9"/>
            <color indexed="81"/>
            <rFont val="Tahoma"/>
            <family val="2"/>
          </rPr>
          <t>1 to 1.5 minute per pass for 10 passes.
Need 1 person for this time.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5" authorId="0" shapeId="0">
      <text>
        <r>
          <rPr>
            <b/>
            <sz val="9"/>
            <color indexed="81"/>
            <rFont val="Tahoma"/>
            <family val="2"/>
          </rPr>
          <t>1 minute per pass for 3 passes.
Need 1 person for this time.
Assume 1st tillage is more in same proportion as tractor tillage.</t>
        </r>
      </text>
    </comment>
    <comment ref="J106" authorId="0" shape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6" authorId="0" shapeId="0">
      <text>
        <r>
          <rPr>
            <b/>
            <sz val="9"/>
            <color indexed="81"/>
            <rFont val="Tahoma"/>
            <family val="2"/>
          </rPr>
          <t>1 minute per pass for 3 passes.
Need 1 person for this time.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7" authorId="0" shapeId="0">
      <text>
        <r>
          <rPr>
            <b/>
            <sz val="9"/>
            <color indexed="81"/>
            <rFont val="Tahoma"/>
            <family val="2"/>
          </rPr>
          <t>Assume this is 1.32 hours per acre which is same as ME wild BB pasture strip installations.
Need 1 person for this time.</t>
        </r>
      </text>
    </comment>
    <comment ref="J108" authorId="0" shapeId="0">
      <text>
        <r>
          <rPr>
            <b/>
            <sz val="9"/>
            <color indexed="81"/>
            <rFont val="Tahoma"/>
            <family val="2"/>
          </rPr>
          <t>Use 2-3 times between May to September
1) Initial
2) Mid-summer
3) 2 weeks before fall plant</t>
        </r>
      </text>
    </comment>
    <comment ref="T108" authorId="0" shapeId="0">
      <text>
        <r>
          <rPr>
            <b/>
            <sz val="9"/>
            <color indexed="81"/>
            <rFont val="Tahoma"/>
            <family val="2"/>
          </rPr>
          <t>Assume this is 1.32 hours per acre which is same as ME wild BB pasture strip installations.
Need 1 person for this time.</t>
        </r>
      </text>
    </comment>
    <comment ref="A109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R109" authorId="2" shapeId="0">
      <text>
        <r>
          <rPr>
            <b/>
            <sz val="8"/>
            <color indexed="81"/>
            <rFont val="Tahoma"/>
            <family val="2"/>
          </rPr>
          <t>On high end of average and more representative of farms considering this.</t>
        </r>
      </text>
    </comment>
    <comment ref="A110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113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114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B115" authorId="2" shapeId="0">
      <text>
        <r>
          <rPr>
            <b/>
            <sz val="8"/>
            <color indexed="81"/>
            <rFont val="Tahoma"/>
            <family val="2"/>
          </rPr>
          <t>Assume slow case is not done by farmers.</t>
        </r>
      </text>
    </comment>
    <comment ref="T116" authorId="0" shapeId="0">
      <text>
        <r>
          <rPr>
            <b/>
            <sz val="9"/>
            <color indexed="81"/>
            <rFont val="Tahoma"/>
            <family val="2"/>
          </rPr>
          <t>10 minutes to do this for 300 square feet.
Need 1 person for this time.</t>
        </r>
      </text>
    </comment>
    <comment ref="T118" authorId="0" shapeId="0">
      <text>
        <r>
          <rPr>
            <b/>
            <sz val="9"/>
            <color indexed="81"/>
            <rFont val="Tahoma"/>
            <family val="2"/>
          </rPr>
          <t>Takes 5 seconds to dig hole, 3 seconds to drop seedling transplant, and then 3 seconds to tamp down.
Need 1 person for this time.</t>
        </r>
      </text>
    </comment>
    <comment ref="R121" authorId="1" shapeId="0">
      <text>
        <r>
          <rPr>
            <b/>
            <sz val="8"/>
            <color indexed="81"/>
            <rFont val="Tahoma"/>
            <family val="2"/>
          </rPr>
          <t>='Bee Pasture - Wildflower'!M78*'Bee Pasture - Clover'!R90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22" authorId="1" shapeId="0">
      <text>
        <r>
          <rPr>
            <b/>
            <sz val="8"/>
            <color indexed="81"/>
            <rFont val="Tahoma"/>
            <family val="2"/>
          </rPr>
          <t>ME field trip hand broadcast too long.
Old value:
=(R78/60)/$H$4</t>
        </r>
      </text>
    </comment>
    <comment ref="N123" authorId="0" shapeId="0">
      <text>
        <r>
          <rPr>
            <b/>
            <sz val="9"/>
            <color indexed="81"/>
            <rFont val="Tahoma"/>
            <family val="2"/>
          </rPr>
          <t>One person hand broadcasting while other person is mixing seed with filler.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3" authorId="0" shapeId="0">
      <text>
        <r>
          <rPr>
            <b/>
            <sz val="9"/>
            <color indexed="81"/>
            <rFont val="Tahoma"/>
            <family val="2"/>
          </rPr>
          <t>3 minutes to do this for 300 square feet.
Need 1 person for this time.</t>
        </r>
      </text>
    </comment>
    <comment ref="N124" authorId="0" shapeId="0">
      <text>
        <r>
          <rPr>
            <b/>
            <sz val="9"/>
            <color indexed="81"/>
            <rFont val="Tahoma"/>
            <family val="2"/>
          </rPr>
          <t>One person hand broadcasting while other person is mixing seed with filler.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4" authorId="0" shapeId="0">
      <text>
        <r>
          <rPr>
            <b/>
            <sz val="9"/>
            <color indexed="81"/>
            <rFont val="Tahoma"/>
            <family val="2"/>
          </rPr>
          <t>10 minutes to do this for 300 square feet.
Need 1 person for this time.</t>
        </r>
      </text>
    </comment>
    <comment ref="R126" authorId="2" shapeId="0">
      <text>
        <r>
          <rPr>
            <sz val="8"/>
            <color indexed="81"/>
            <rFont val="Tahoma"/>
            <family val="2"/>
          </rPr>
          <t>6 minutes for 2/3 of strip.  Takes 9 minutes estimated if do whole strip.</t>
        </r>
      </text>
    </comment>
    <comment ref="B127" authorId="2" shapeId="0">
      <text>
        <r>
          <rPr>
            <sz val="8"/>
            <color indexed="81"/>
            <rFont val="Tahoma"/>
            <family val="2"/>
          </rPr>
          <t>Assume this is manual for now.</t>
        </r>
      </text>
    </comment>
    <comment ref="R127" authorId="2" shapeId="0">
      <text>
        <r>
          <rPr>
            <sz val="8"/>
            <color indexed="81"/>
            <rFont val="Tahoma"/>
            <family val="2"/>
          </rPr>
          <t>Assume use Rogers Farm scenario and not BBHF.</t>
        </r>
      </text>
    </comment>
    <comment ref="R128" authorId="2" shapeId="0">
      <text>
        <r>
          <rPr>
            <sz val="8"/>
            <color indexed="81"/>
            <rFont val="Tahoma"/>
            <family val="2"/>
          </rPr>
          <t>Assume use Rogers Farm scenario and not BBHF.</t>
        </r>
      </text>
    </comment>
    <comment ref="T128" authorId="0" shape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128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4" authorId="2" shapeId="0">
      <text>
        <r>
          <rPr>
            <sz val="8"/>
            <color indexed="81"/>
            <rFont val="Tahoma"/>
            <family val="2"/>
          </rPr>
          <t>Assume water twice a week for 4 weeks for establishment.  If plant in fall then not water.
=(2*4)</t>
        </r>
      </text>
    </comment>
    <comment ref="J136" authorId="2" shapeId="0">
      <text>
        <r>
          <rPr>
            <sz val="8"/>
            <color indexed="81"/>
            <rFont val="Tahoma"/>
            <family val="2"/>
          </rPr>
          <t>Assume water twice a week for 4 weeks for establishment.  If plant in fall then not water.
=(2*4)</t>
        </r>
      </text>
    </comment>
    <comment ref="N137" authorId="2" shapeId="0">
      <text>
        <r>
          <rPr>
            <b/>
            <sz val="8"/>
            <color indexed="81"/>
            <rFont val="Tahoma"/>
            <family val="2"/>
          </rPr>
          <t>Assume producer does not do this.</t>
        </r>
      </text>
    </comment>
    <comment ref="R137" authorId="2" shapeId="0">
      <text>
        <r>
          <rPr>
            <sz val="8"/>
            <color indexed="81"/>
            <rFont val="Tahoma"/>
            <family val="2"/>
          </rPr>
          <t>Estimate of what Audrey and Marge installed.</t>
        </r>
      </text>
    </comment>
    <comment ref="T138" authorId="0" shapeId="0">
      <text>
        <r>
          <rPr>
            <b/>
            <sz val="9"/>
            <color indexed="81"/>
            <rFont val="Tahoma"/>
            <family val="2"/>
          </rPr>
          <t>1.5-2 minutes per pass for 2 passes plus 5 minutes to mix chemicals and 5 minutes to clean up.
Need 1 person for this time.</t>
        </r>
      </text>
    </comment>
    <comment ref="A142" authorId="0" shapeId="0">
      <text>
        <r>
          <rPr>
            <b/>
            <sz val="9"/>
            <color indexed="81"/>
            <rFont val="Tahoma"/>
            <family val="2"/>
          </rPr>
          <t>Typically done in fall but can be anytime during season.</t>
        </r>
      </text>
    </comment>
    <comment ref="T142" authorId="0" shapeId="0">
      <text>
        <r>
          <rPr>
            <b/>
            <sz val="9"/>
            <color indexed="81"/>
            <rFont val="Tahoma"/>
            <family val="2"/>
          </rPr>
          <t>This was misunderstood as 60 minutes for 200 sq.ft. when actually this was for the 2009 planting of 2,000 sq.ft. So (60/2000)*200 = 6 minutes for 200 sq.ft. Thus use most recent estimate of 5 minutes per 200 sq.ft. If this is as high as 60 minutes each year for 200 sq.ft. then too much time and re-start since too weedy..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3" authorId="0" shapeId="0">
      <text>
        <r>
          <rPr>
            <b/>
            <sz val="9"/>
            <color indexed="81"/>
            <rFont val="Tahoma"/>
            <family val="2"/>
          </rPr>
          <t>Just for natural and clover/wildflower bee pasture.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7" authorId="0" shapeId="0">
      <text>
        <r>
          <rPr>
            <b/>
            <sz val="9"/>
            <color indexed="81"/>
            <rFont val="Tahoma"/>
            <family val="2"/>
          </rPr>
          <t>Subtract out area using Poast.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7" authorId="0" shapeId="0">
      <text>
        <r>
          <rPr>
            <b/>
            <sz val="9"/>
            <color indexed="81"/>
            <rFont val="Tahoma"/>
            <family val="2"/>
          </rPr>
          <t>If use Poast then do not do this.</t>
        </r>
      </text>
    </comment>
    <comment ref="T147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47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8" authorId="0" shapeId="0">
      <text>
        <r>
          <rPr>
            <b/>
            <sz val="9"/>
            <color indexed="81"/>
            <rFont val="Tahoma"/>
            <family val="2"/>
          </rPr>
          <t>Subtract out area using Poast.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</rPr>
          <t>If use Poast then do not do this.</t>
        </r>
      </text>
    </comment>
    <comment ref="T148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48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9" authorId="0" shapeId="0">
      <text>
        <r>
          <rPr>
            <b/>
            <sz val="9"/>
            <color indexed="81"/>
            <rFont val="Tahoma"/>
            <family val="2"/>
          </rPr>
          <t>Subtract out area using Poast.</t>
        </r>
      </text>
    </comment>
    <comment ref="J149" authorId="0" shapeId="0">
      <text>
        <r>
          <rPr>
            <b/>
            <sz val="9"/>
            <color indexed="81"/>
            <rFont val="Tahoma"/>
            <family val="2"/>
          </rPr>
          <t>If use Poast then do not do this.</t>
        </r>
      </text>
    </comment>
    <comment ref="T149" authorId="0" shape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149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0" authorId="0" shapeId="0">
      <text>
        <r>
          <rPr>
            <b/>
            <sz val="9"/>
            <color indexed="81"/>
            <rFont val="Tahoma"/>
            <family val="2"/>
          </rPr>
          <t>Subtract out area using Poast.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0" authorId="0" shapeId="0">
      <text>
        <r>
          <rPr>
            <b/>
            <sz val="9"/>
            <color indexed="81"/>
            <rFont val="Tahoma"/>
            <family val="2"/>
          </rPr>
          <t>If use Poast then do not do this.</t>
        </r>
      </text>
    </comment>
    <comment ref="T150" authorId="0" shape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150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2" authorId="0" shapeId="0">
      <text>
        <r>
          <rPr>
            <b/>
            <sz val="9"/>
            <color indexed="81"/>
            <rFont val="Tahoma"/>
            <family val="2"/>
          </rPr>
          <t>This is typically not done unless there is heavy weed pressure</t>
        </r>
      </text>
    </comment>
    <comment ref="T152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2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3" authorId="0" shapeId="0">
      <text>
        <r>
          <rPr>
            <b/>
            <sz val="9"/>
            <color indexed="81"/>
            <rFont val="Tahoma"/>
            <family val="2"/>
          </rPr>
          <t>This is typically not done unless there is heavy weed pressure</t>
        </r>
      </text>
    </comment>
    <comment ref="T153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3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4" authorId="0" shapeId="0">
      <text>
        <r>
          <rPr>
            <b/>
            <sz val="9"/>
            <color indexed="81"/>
            <rFont val="Tahoma"/>
            <family val="2"/>
          </rPr>
          <t>This is typically not done unless there is heavy weed pressure</t>
        </r>
      </text>
    </comment>
    <comment ref="T154" authorId="0" shape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154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5" authorId="0" shapeId="0">
      <text>
        <r>
          <rPr>
            <b/>
            <sz val="9"/>
            <color indexed="81"/>
            <rFont val="Tahoma"/>
            <family val="2"/>
          </rPr>
          <t>This is typically not done unless there is heavy weed pressure</t>
        </r>
      </text>
    </comment>
    <comment ref="T155" authorId="0" shape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155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6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6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7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7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8" authorId="0" shape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158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9" authorId="0" shape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159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1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1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2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2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3" authorId="0" shapeId="0">
      <text>
        <r>
          <rPr>
            <b/>
            <sz val="9"/>
            <color indexed="81"/>
            <rFont val="Tahoma"/>
            <family val="2"/>
          </rPr>
          <t>Adjust so consistent with ME wild BB bee pasture which used regular mower.</t>
        </r>
      </text>
    </comment>
    <comment ref="U163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4" authorId="0" shapeId="0">
      <text>
        <r>
          <rPr>
            <b/>
            <sz val="9"/>
            <color indexed="81"/>
            <rFont val="Tahoma"/>
            <family val="2"/>
          </rPr>
          <t xml:space="preserve">20 minutes for 2 passes
</t>
        </r>
      </text>
    </comment>
    <comment ref="U164" authorId="0" shapeId="0">
      <text>
        <r>
          <rPr>
            <b/>
            <sz val="9"/>
            <color indexed="81"/>
            <rFont val="Tahoma"/>
            <family val="2"/>
          </rPr>
          <t>6 plots 48 feet long that are 10 feet 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6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7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8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9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0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1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2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3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6" authorId="0" shapeId="0">
      <text>
        <r>
          <rPr>
            <b/>
            <sz val="9"/>
            <color indexed="81"/>
            <rFont val="Tahoma"/>
            <family val="2"/>
          </rPr>
          <t>Assume this is the same as for a hand operated mechanical wild BB harvester.</t>
        </r>
      </text>
    </comment>
    <comment ref="M187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8" authorId="2" shapeId="0">
      <text>
        <r>
          <rPr>
            <b/>
            <sz val="8"/>
            <color indexed="81"/>
            <rFont val="Tahoma"/>
            <family val="2"/>
          </rPr>
          <t>Assume for now this is the same.</t>
        </r>
      </text>
    </comment>
    <comment ref="M189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190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191" authorId="0" shape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2" authorId="0" shape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3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194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195" authorId="0" shape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6" authorId="0" shape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7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198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199" authorId="0" shape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00" authorId="0" shape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01" authorId="2" shapeId="0">
      <text>
        <r>
          <rPr>
            <b/>
            <sz val="8"/>
            <color indexed="81"/>
            <rFont val="Tahoma"/>
            <family val="2"/>
          </rPr>
          <t>From Lazarus MN Machine Costs 2009 for 6 ft rotary hay mower..</t>
        </r>
      </text>
    </comment>
    <comment ref="A207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208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211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212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M223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24" authorId="0" shapeId="0">
      <text>
        <r>
          <rPr>
            <b/>
            <sz val="9"/>
            <color indexed="81"/>
            <rFont val="Tahoma"/>
            <family val="2"/>
          </rPr>
          <t>Assume this and adjust in proportion to tractor tiller fuel use difference for 1st tillage.</t>
        </r>
      </text>
    </comment>
    <comment ref="R225" authorId="0" shapeId="0">
      <text>
        <r>
          <rPr>
            <b/>
            <sz val="9"/>
            <color indexed="81"/>
            <rFont val="Tahoma"/>
            <family val="2"/>
          </rPr>
          <t>Assume this.</t>
        </r>
      </text>
    </comment>
    <comment ref="R226" authorId="0" shapeId="0">
      <text>
        <r>
          <rPr>
            <b/>
            <sz val="9"/>
            <color indexed="81"/>
            <rFont val="Tahoma"/>
            <family val="2"/>
          </rPr>
          <t>Assume this and adjust in proportion to tractor tiller fuel use difference for 1st tillage.</t>
        </r>
      </text>
    </comment>
    <comment ref="R227" authorId="0" shapeId="0">
      <text>
        <r>
          <rPr>
            <b/>
            <sz val="9"/>
            <color indexed="81"/>
            <rFont val="Tahoma"/>
            <family val="2"/>
          </rPr>
          <t>Assume in between rototiller and tractor tiller.</t>
        </r>
      </text>
    </comment>
    <comment ref="R228" authorId="0" shapeId="0">
      <text>
        <r>
          <rPr>
            <b/>
            <sz val="9"/>
            <color indexed="81"/>
            <rFont val="Tahoma"/>
            <family val="2"/>
          </rPr>
          <t>Assume same as for wild BB</t>
        </r>
      </text>
    </comment>
    <comment ref="R229" authorId="0" shapeId="0">
      <text>
        <r>
          <rPr>
            <b/>
            <sz val="9"/>
            <color indexed="81"/>
            <rFont val="Tahoma"/>
            <family val="2"/>
          </rPr>
          <t>Assume same as for wild BB</t>
        </r>
      </text>
    </comment>
    <comment ref="A230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231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R232" authorId="2" shapeId="0">
      <text>
        <r>
          <rPr>
            <b/>
            <sz val="8"/>
            <color indexed="81"/>
            <rFont val="Tahoma"/>
            <family val="2"/>
          </rPr>
          <t>Used ATV and this is an estimate.  Did multiple passes to spread the lime (sometimes around 20 passes).</t>
        </r>
      </text>
    </comment>
    <comment ref="A234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A235" authorId="2" shapeId="0">
      <text>
        <r>
          <rPr>
            <sz val="8"/>
            <color indexed="81"/>
            <rFont val="Tahoma"/>
            <family val="2"/>
          </rPr>
          <t>To 3-4 inch depth.</t>
        </r>
      </text>
    </comment>
    <comment ref="M236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7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9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41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3" authorId="1" shapeId="0">
      <text>
        <r>
          <rPr>
            <b/>
            <sz val="8"/>
            <color indexed="81"/>
            <rFont val="Tahoma"/>
            <family val="2"/>
          </rPr>
          <t xml:space="preserve">Fuel not used since manual.
</t>
        </r>
      </text>
    </comment>
    <comment ref="M244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4" authorId="1" shapeId="0">
      <text>
        <r>
          <rPr>
            <b/>
            <sz val="8"/>
            <color indexed="81"/>
            <rFont val="Tahoma"/>
            <family val="2"/>
          </rPr>
          <t xml:space="preserve">Fuel not used since manual.
</t>
        </r>
      </text>
    </comment>
    <comment ref="M245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5" authorId="1" shapeId="0">
      <text>
        <r>
          <rPr>
            <b/>
            <sz val="8"/>
            <color indexed="81"/>
            <rFont val="Tahoma"/>
            <family val="2"/>
          </rPr>
          <t xml:space="preserve">Fuel not used since manual.
</t>
        </r>
      </text>
    </comment>
    <comment ref="R247" authorId="1" shapeId="0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48" authorId="2" shapeId="0">
      <text>
        <r>
          <rPr>
            <b/>
            <sz val="8"/>
            <color indexed="81"/>
            <rFont val="Tahoma"/>
            <family val="2"/>
          </rPr>
          <t xml:space="preserve">Fuel use for Gstor and not a tractor at Rogers Farm. </t>
        </r>
      </text>
    </comment>
    <comment ref="R249" authorId="2" shapeId="0">
      <text>
        <r>
          <rPr>
            <b/>
            <sz val="8"/>
            <color indexed="81"/>
            <rFont val="Tahoma"/>
            <family val="2"/>
          </rPr>
          <t>Fuel use for Gstor and not a tractor at Rogers Farm. Assume this is the same as for using a tractor.</t>
        </r>
      </text>
    </comment>
    <comment ref="R250" authorId="1" shapeId="0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1" authorId="1" shapeId="0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53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54" authorId="1" shapeId="0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5" authorId="1" shapeId="0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6" authorId="1" shapeId="0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7" authorId="1" shapeId="0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8" authorId="1" shapeId="0">
      <text>
        <r>
          <rPr>
            <b/>
            <sz val="8"/>
            <color indexed="81"/>
            <rFont val="Tahoma"/>
            <family val="2"/>
          </rPr>
          <t>Fuel not used since manual.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59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3" authorId="0" shapeId="0">
      <text>
        <r>
          <rPr>
            <b/>
            <sz val="9"/>
            <color indexed="81"/>
            <rFont val="Tahoma"/>
            <family val="2"/>
          </rPr>
          <t>Typically done in fall but can be anytime during season.</t>
        </r>
      </text>
    </comment>
    <comment ref="M263" authorId="0" shapeId="0">
      <text>
        <r>
          <rPr>
            <b/>
            <sz val="9"/>
            <color indexed="81"/>
            <rFont val="Tahoma"/>
            <family val="2"/>
          </rPr>
          <t>No fuel used for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64" authorId="2" shapeId="0">
      <text>
        <r>
          <rPr>
            <b/>
            <sz val="8"/>
            <color indexed="81"/>
            <rFont val="Tahoma"/>
            <family val="2"/>
          </rPr>
          <t>From Lazarus MN Machine Costs 2009 for 6 ft rotary hay mower..</t>
        </r>
      </text>
    </comment>
    <comment ref="H268" authorId="0" shapeId="0">
      <text>
        <r>
          <rPr>
            <b/>
            <sz val="9"/>
            <color indexed="81"/>
            <rFont val="Tahoma"/>
            <family val="2"/>
          </rPr>
          <t>Subtract out area using Poast.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68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H269" authorId="0" shapeId="0">
      <text>
        <r>
          <rPr>
            <b/>
            <sz val="9"/>
            <color indexed="81"/>
            <rFont val="Tahoma"/>
            <family val="2"/>
          </rPr>
          <t>Subtract out area using Poast.</t>
        </r>
      </text>
    </comment>
    <comment ref="M269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H270" authorId="0" shapeId="0">
      <text>
        <r>
          <rPr>
            <b/>
            <sz val="9"/>
            <color indexed="81"/>
            <rFont val="Tahoma"/>
            <family val="2"/>
          </rPr>
          <t>Subtract out area using Poast.</t>
        </r>
      </text>
    </comment>
    <comment ref="M270" authorId="0" shape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1" authorId="0" shapeId="0">
      <text>
        <r>
          <rPr>
            <b/>
            <sz val="9"/>
            <color indexed="81"/>
            <rFont val="Tahoma"/>
            <family val="2"/>
          </rPr>
          <t>Subtract out area using Poast.</t>
        </r>
      </text>
    </comment>
    <comment ref="M271" authorId="0" shapeId="0">
      <text>
        <r>
          <rPr>
            <b/>
            <sz val="9"/>
            <color indexed="81"/>
            <rFont val="Tahoma"/>
            <family val="2"/>
          </rPr>
          <t>Assume same as for wild BB mowing</t>
        </r>
      </text>
    </comment>
    <comment ref="R271" authorId="2" shapeId="0">
      <text>
        <r>
          <rPr>
            <b/>
            <sz val="8"/>
            <color indexed="81"/>
            <rFont val="Tahoma"/>
            <family val="2"/>
          </rPr>
          <t>From Lazarus MN Machine Costs 2009 for 6 ft rotary hay mower..</t>
        </r>
      </text>
    </comment>
    <comment ref="M273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274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275" authorId="0" shape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76" authorId="0" shapeId="0">
      <text>
        <r>
          <rPr>
            <b/>
            <sz val="9"/>
            <color indexed="81"/>
            <rFont val="Tahoma"/>
            <family val="2"/>
          </rPr>
          <t>Assume same as for wild BB mowing</t>
        </r>
      </text>
    </comment>
    <comment ref="R276" authorId="2" shapeId="0">
      <text>
        <r>
          <rPr>
            <b/>
            <sz val="8"/>
            <color indexed="81"/>
            <rFont val="Tahoma"/>
            <family val="2"/>
          </rPr>
          <t>From Lazarus MN Machine Costs 2009 for 6 ft rotary hay mower..</t>
        </r>
      </text>
    </comment>
    <comment ref="M277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278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279" authorId="0" shape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0" authorId="0" shapeId="0">
      <text>
        <r>
          <rPr>
            <b/>
            <sz val="9"/>
            <color indexed="81"/>
            <rFont val="Tahoma"/>
            <family val="2"/>
          </rPr>
          <t>Assume same as for wild BB mowing</t>
        </r>
      </text>
    </comment>
    <comment ref="R280" authorId="2" shapeId="0">
      <text>
        <r>
          <rPr>
            <b/>
            <sz val="8"/>
            <color indexed="81"/>
            <rFont val="Tahoma"/>
            <family val="2"/>
          </rPr>
          <t>From Lazarus MN Machine Costs 2009 for 6 ft rotary hay mower..</t>
        </r>
      </text>
    </comment>
    <comment ref="M282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283" authorId="0" shapeId="0">
      <text>
        <r>
          <rPr>
            <b/>
            <sz val="9"/>
            <color indexed="81"/>
            <rFont val="Tahoma"/>
            <family val="2"/>
          </rPr>
          <t>Estimated from personal experience.</t>
        </r>
      </text>
    </comment>
    <comment ref="M284" authorId="0" shapeId="0">
      <text>
        <r>
          <rPr>
            <b/>
            <sz val="9"/>
            <color indexed="81"/>
            <rFont val="Tahoma"/>
            <family val="2"/>
          </rPr>
          <t>Assume same as for wild BB.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5" authorId="0" shapeId="0">
      <text>
        <r>
          <rPr>
            <b/>
            <sz val="9"/>
            <color indexed="81"/>
            <rFont val="Tahoma"/>
            <family val="2"/>
          </rPr>
          <t>Assume same as for wild BB mowing</t>
        </r>
      </text>
    </comment>
    <comment ref="R285" authorId="2" shapeId="0">
      <text>
        <r>
          <rPr>
            <b/>
            <sz val="8"/>
            <color indexed="81"/>
            <rFont val="Tahoma"/>
            <family val="2"/>
          </rPr>
          <t>From Lazarus MN Machine Costs 2009 for 6 ft rotary hay mower..</t>
        </r>
      </text>
    </comment>
    <comment ref="R286" authorId="0" shapeId="0">
      <text>
        <r>
          <rPr>
            <b/>
            <sz val="9"/>
            <color indexed="81"/>
            <rFont val="Tahoma"/>
            <family val="2"/>
          </rPr>
          <t>Assume as same for wild BB bee pasture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4" authorId="1" shapeId="0">
      <text>
        <r>
          <rPr>
            <b/>
            <sz val="8"/>
            <color indexed="81"/>
            <rFont val="Tahoma"/>
            <family val="2"/>
          </rPr>
          <t>Assumethis is fixed.</t>
        </r>
      </text>
    </comment>
    <comment ref="K294" authorId="2" shapeId="0">
      <text>
        <r>
          <rPr>
            <b/>
            <sz val="8"/>
            <color indexed="81"/>
            <rFont val="Tahoma"/>
            <family val="2"/>
          </rPr>
          <t>Assume $300 for tractor and $5 for lube.</t>
        </r>
      </text>
    </comment>
    <comment ref="H295" authorId="1" shapeId="0">
      <text>
        <r>
          <rPr>
            <b/>
            <sz val="8"/>
            <color indexed="81"/>
            <rFont val="Tahoma"/>
            <family val="2"/>
          </rPr>
          <t>Assumethis is fixed.</t>
        </r>
      </text>
    </comment>
    <comment ref="K295" authorId="2" shapeId="0">
      <text>
        <r>
          <rPr>
            <b/>
            <sz val="8"/>
            <color indexed="81"/>
            <rFont val="Tahoma"/>
            <family val="2"/>
          </rPr>
          <t>Assume $300 for tractor and $5 for lube. Turn this old value off (=(300+5)).</t>
        </r>
      </text>
    </comment>
    <comment ref="H302" authorId="1" shapeId="0">
      <text>
        <r>
          <rPr>
            <b/>
            <sz val="8"/>
            <color indexed="81"/>
            <rFont val="Tahoma"/>
            <family val="2"/>
          </rPr>
          <t>Assumethis is fixed. Although rented for experimental plots, assume own capital.
Old value = 1</t>
        </r>
      </text>
    </comment>
    <comment ref="A303" authorId="1" shapeId="0">
      <text>
        <r>
          <rPr>
            <sz val="8"/>
            <color indexed="81"/>
            <rFont val="Tahoma"/>
            <family val="2"/>
          </rPr>
          <t>Assume that this is not rented since own ATV and drop spreader.</t>
        </r>
      </text>
    </comment>
    <comment ref="H303" authorId="1" shapeId="0">
      <text>
        <r>
          <rPr>
            <b/>
            <sz val="8"/>
            <color indexed="81"/>
            <rFont val="Tahoma"/>
            <family val="2"/>
          </rPr>
          <t>Assumethis is fixed. Although rented for experimental plots, assume own capital.
Old value = 1</t>
        </r>
      </text>
    </comment>
    <comment ref="H304" authorId="1" shapeId="0">
      <text>
        <r>
          <rPr>
            <b/>
            <sz val="8"/>
            <color indexed="81"/>
            <rFont val="Tahoma"/>
            <family val="2"/>
          </rPr>
          <t>Assumethis is fixed. Although rented for experimental plots, assume own capital.
Old value = 1</t>
        </r>
      </text>
    </comment>
    <comment ref="B332" authorId="2" shapeId="0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32" authorId="2" shapeId="0">
      <text>
        <r>
          <rPr>
            <b/>
            <sz val="8"/>
            <color indexed="81"/>
            <rFont val="Tahoma"/>
            <family val="2"/>
          </rPr>
          <t>Assume this.</t>
        </r>
      </text>
    </comment>
    <comment ref="B341" authorId="2" shapeId="0">
      <text>
        <r>
          <rPr>
            <b/>
            <sz val="8"/>
            <color indexed="81"/>
            <rFont val="Tahoma"/>
            <family val="2"/>
          </rPr>
          <t>Assume rent tiller to save $400 - $60 = $340.</t>
        </r>
      </text>
    </comment>
    <comment ref="B342" authorId="0" shapeId="0">
      <text>
        <r>
          <rPr>
            <b/>
            <sz val="9"/>
            <color indexed="81"/>
            <rFont val="Tahoma"/>
            <family val="2"/>
          </rPr>
          <t xml:space="preserve">Assume only a certain percent used for strip.
</t>
        </r>
      </text>
    </comment>
    <comment ref="R342" authorId="0" shape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3" authorId="0" shapeId="0">
      <text>
        <r>
          <rPr>
            <b/>
            <sz val="9"/>
            <color indexed="81"/>
            <rFont val="Tahoma"/>
            <family val="2"/>
          </rPr>
          <t xml:space="preserve">Assume only a certain percent used for strip.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43" authorId="0" shape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4" authorId="0" shapeId="0">
      <text>
        <r>
          <rPr>
            <b/>
            <sz val="9"/>
            <color indexed="81"/>
            <rFont val="Tahoma"/>
            <family val="2"/>
          </rPr>
          <t>Assume only a certain percent used for strip.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46" authorId="2" shapeId="0">
      <text>
        <r>
          <rPr>
            <b/>
            <sz val="8"/>
            <color indexed="81"/>
            <rFont val="Tahoma"/>
            <family val="2"/>
          </rPr>
          <t>Assume this.</t>
        </r>
      </text>
    </comment>
    <comment ref="R347" authorId="0" shape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49" authorId="0" shapeId="0">
      <text>
        <r>
          <rPr>
            <b/>
            <sz val="9"/>
            <color indexed="81"/>
            <rFont val="Tahoma"/>
            <family val="2"/>
          </rPr>
          <t>Assume this.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3" authorId="0" shapeId="0">
      <text>
        <r>
          <rPr>
            <b/>
            <sz val="9"/>
            <color indexed="81"/>
            <rFont val="Tahoma"/>
            <family val="2"/>
          </rPr>
          <t>Use black</t>
        </r>
      </text>
    </comment>
    <comment ref="A354" authorId="0" shapeId="0">
      <text>
        <r>
          <rPr>
            <b/>
            <sz val="9"/>
            <color indexed="81"/>
            <rFont val="Tahoma"/>
            <family val="2"/>
          </rPr>
          <t>Reduce use of blocks if can bury the edge.</t>
        </r>
      </text>
    </comment>
    <comment ref="L355" authorId="1" shapeId="0">
      <text>
        <r>
          <rPr>
            <b/>
            <sz val="8"/>
            <color indexed="81"/>
            <rFont val="Tahoma"/>
            <family val="2"/>
          </rPr>
          <t>Assume this.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55" authorId="2" shapeId="0">
      <text>
        <r>
          <rPr>
            <b/>
            <sz val="8"/>
            <color indexed="81"/>
            <rFont val="Tahoma"/>
            <family val="2"/>
          </rPr>
          <t>Assume this.</t>
        </r>
      </text>
    </comment>
    <comment ref="O356" authorId="0" shapeId="0">
      <text>
        <r>
          <rPr>
            <b/>
            <sz val="9"/>
            <color indexed="81"/>
            <rFont val="Tahoma"/>
            <family val="2"/>
          </rPr>
          <t>Assume at least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7" authorId="0" shapeId="0">
      <text>
        <r>
          <rPr>
            <b/>
            <sz val="9"/>
            <color indexed="81"/>
            <rFont val="Tahoma"/>
            <family val="2"/>
          </rPr>
          <t>Assume at least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8" authorId="0" shapeId="0">
      <text>
        <r>
          <rPr>
            <b/>
            <sz val="9"/>
            <color indexed="81"/>
            <rFont val="Tahoma"/>
            <family val="2"/>
          </rPr>
          <t>Assume at least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9" authorId="0" shapeId="0">
      <text>
        <r>
          <rPr>
            <b/>
            <sz val="9"/>
            <color indexed="81"/>
            <rFont val="Tahoma"/>
            <family val="2"/>
          </rPr>
          <t>Assume at least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60" authorId="1" shapeId="0">
      <text>
        <r>
          <rPr>
            <b/>
            <sz val="8"/>
            <color indexed="81"/>
            <rFont val="Tahoma"/>
            <family val="2"/>
          </rPr>
          <t>Assume this.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60" authorId="2" shapeId="0">
      <text>
        <r>
          <rPr>
            <b/>
            <sz val="8"/>
            <color indexed="81"/>
            <rFont val="Tahoma"/>
            <family val="2"/>
          </rPr>
          <t>Assume this.</t>
        </r>
      </text>
    </comment>
    <comment ref="L361" authorId="1" shapeId="0">
      <text>
        <r>
          <rPr>
            <b/>
            <sz val="8"/>
            <color indexed="81"/>
            <rFont val="Tahoma"/>
            <family val="2"/>
          </rPr>
          <t>Assume this.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61" authorId="0" shapeId="0">
      <text>
        <r>
          <rPr>
            <b/>
            <sz val="9"/>
            <color indexed="81"/>
            <rFont val="Tahoma"/>
            <family val="2"/>
          </rPr>
          <t>Assume this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3" authorId="1" shapeId="0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63" authorId="1" shapeId="0">
      <text>
        <r>
          <rPr>
            <b/>
            <sz val="8"/>
            <color indexed="81"/>
            <rFont val="Tahoma"/>
            <family val="2"/>
          </rPr>
          <t>Assume this.</t>
        </r>
      </text>
    </comment>
    <comment ref="B364" authorId="1" shapeId="0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64" authorId="1" shapeId="0">
      <text>
        <r>
          <rPr>
            <b/>
            <sz val="8"/>
            <color indexed="81"/>
            <rFont val="Tahoma"/>
            <family val="2"/>
          </rPr>
          <t>Based on cooperating farmer.</t>
        </r>
      </text>
    </comment>
    <comment ref="B365" authorId="1" shapeId="0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65" authorId="1" shapeId="0">
      <text>
        <r>
          <rPr>
            <b/>
            <sz val="8"/>
            <color indexed="81"/>
            <rFont val="Tahoma"/>
            <family val="2"/>
          </rPr>
          <t>Based on cooperating farmer.</t>
        </r>
      </text>
    </comment>
    <comment ref="B366" authorId="1" shapeId="0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66" authorId="1" shapeId="0">
      <text>
        <r>
          <rPr>
            <b/>
            <sz val="8"/>
            <color indexed="81"/>
            <rFont val="Tahoma"/>
            <family val="2"/>
          </rPr>
          <t>Based on cooperating farmer.</t>
        </r>
      </text>
    </comment>
    <comment ref="B367" authorId="1" shapeId="0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67" authorId="1" shapeId="0">
      <text>
        <r>
          <rPr>
            <b/>
            <sz val="8"/>
            <color indexed="81"/>
            <rFont val="Tahoma"/>
            <family val="2"/>
          </rPr>
          <t>Based on cooperating farmer.</t>
        </r>
      </text>
    </comment>
    <comment ref="B368" authorId="1" shapeId="0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R368" authorId="1" shapeId="0">
      <text>
        <r>
          <rPr>
            <b/>
            <sz val="8"/>
            <color indexed="81"/>
            <rFont val="Tahoma"/>
            <family val="2"/>
          </rPr>
          <t>Based on cooperating farmer.</t>
        </r>
      </text>
    </comment>
    <comment ref="R369" authorId="2" shapeId="0">
      <text>
        <r>
          <rPr>
            <b/>
            <sz val="8"/>
            <color indexed="81"/>
            <rFont val="Tahoma"/>
            <family val="2"/>
          </rPr>
          <t>For hose $40 and for sprinkler head $15.</t>
        </r>
      </text>
    </comment>
    <comment ref="R370" authorId="2" shapeId="0">
      <text>
        <r>
          <rPr>
            <b/>
            <sz val="8"/>
            <color indexed="81"/>
            <rFont val="Tahoma"/>
            <family val="2"/>
          </rPr>
          <t>For hose $40 and for sprinkler head $15.</t>
        </r>
      </text>
    </comment>
    <comment ref="R371" authorId="0" shapeId="0">
      <text>
        <r>
          <rPr>
            <b/>
            <sz val="9"/>
            <color indexed="81"/>
            <rFont val="Tahoma"/>
            <family val="2"/>
          </rPr>
          <t>Assume this</t>
        </r>
      </text>
    </comment>
    <comment ref="B372" authorId="2" shapeId="0">
      <text>
        <r>
          <rPr>
            <b/>
            <sz val="8"/>
            <color indexed="81"/>
            <rFont val="Tahoma"/>
            <family val="2"/>
          </rPr>
          <t>Assume farmer does not need a fence.</t>
        </r>
      </text>
    </comment>
    <comment ref="B373" authorId="2" shapeId="0">
      <text>
        <r>
          <rPr>
            <b/>
            <sz val="8"/>
            <color indexed="81"/>
            <rFont val="Tahoma"/>
            <family val="2"/>
          </rPr>
          <t>Assume farmer does not need a fence.</t>
        </r>
      </text>
    </comment>
    <comment ref="B374" authorId="2" shapeId="0">
      <text>
        <r>
          <rPr>
            <b/>
            <sz val="8"/>
            <color indexed="81"/>
            <rFont val="Tahoma"/>
            <family val="2"/>
          </rPr>
          <t>Assume farmer does not need a fence.</t>
        </r>
      </text>
    </comment>
    <comment ref="B375" authorId="2" shapeId="0">
      <text>
        <r>
          <rPr>
            <b/>
            <sz val="8"/>
            <color indexed="81"/>
            <rFont val="Tahoma"/>
            <family val="2"/>
          </rPr>
          <t>Assume farmer does not need a fence.</t>
        </r>
      </text>
    </comment>
    <comment ref="B378" authorId="0" shapeId="0">
      <text>
        <r>
          <rPr>
            <b/>
            <sz val="9"/>
            <color indexed="81"/>
            <rFont val="Tahoma"/>
            <family val="2"/>
          </rPr>
          <t>Assume only a certain percent used for strip.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1" authorId="2" shapeId="0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B382" authorId="2" shapeId="0">
      <text>
        <r>
          <rPr>
            <b/>
            <sz val="8"/>
            <color indexed="81"/>
            <rFont val="Tahoma"/>
            <family val="2"/>
          </rPr>
          <t>Assume only a certain percent used for strip.</t>
        </r>
      </text>
    </comment>
    <comment ref="L382" authorId="1" shapeId="0">
      <text>
        <r>
          <rPr>
            <b/>
            <sz val="8"/>
            <color indexed="81"/>
            <rFont val="Tahoma"/>
            <family val="2"/>
          </rPr>
          <t>Old value of 10 years. Change so consistent.</t>
        </r>
      </text>
    </comment>
    <comment ref="R382" authorId="1" shapeId="0">
      <text>
        <r>
          <rPr>
            <b/>
            <sz val="8"/>
            <color indexed="81"/>
            <rFont val="Tahoma"/>
            <family val="2"/>
          </rPr>
          <t>Old value of $20,000. Change so consistent.</t>
        </r>
      </text>
    </comment>
    <comment ref="I387" authorId="2" shapeId="0">
      <text>
        <r>
          <rPr>
            <b/>
            <sz val="8"/>
            <color indexed="81"/>
            <rFont val="Tahoma"/>
            <family val="2"/>
          </rPr>
          <t>Use best estimate of undeveloped land / farmland in NH. Old value assumed for ME was $1,000/acre.</t>
        </r>
      </text>
    </comment>
    <comment ref="K393" authorId="0" shapeId="0">
      <text>
        <r>
          <rPr>
            <b/>
            <sz val="9"/>
            <color indexed="81"/>
            <rFont val="Tahoma"/>
            <family val="2"/>
          </rPr>
          <t>Assume this is $0</t>
        </r>
      </text>
    </comment>
    <comment ref="B394" authorId="2" shapeId="0">
      <text>
        <r>
          <rPr>
            <sz val="8"/>
            <color indexed="81"/>
            <rFont val="Tahoma"/>
            <family val="2"/>
          </rPr>
          <t>Assume only a certain percent used for strip.</t>
        </r>
      </text>
    </comment>
    <comment ref="K394" authorId="1" shapeId="0">
      <text>
        <r>
          <rPr>
            <b/>
            <sz val="8"/>
            <color indexed="81"/>
            <rFont val="Tahoma"/>
            <family val="2"/>
          </rPr>
          <t>Assume same as for wild BB survey average share weighted by farm size.
Do not use this old value (11.965681316986)</t>
        </r>
      </text>
    </comment>
    <comment ref="B397" authorId="2" shapeId="0">
      <text>
        <r>
          <rPr>
            <sz val="8"/>
            <color indexed="81"/>
            <rFont val="Tahoma"/>
            <family val="2"/>
          </rPr>
          <t>Assume only a certain percent used for strip.</t>
        </r>
      </text>
    </comment>
    <comment ref="K397" authorId="2" shapeId="0">
      <text>
        <r>
          <rPr>
            <b/>
            <sz val="8"/>
            <color indexed="81"/>
            <rFont val="Tahoma"/>
            <family val="2"/>
          </rPr>
          <t>Assume this.</t>
        </r>
      </text>
    </comment>
    <comment ref="R397" authorId="2" shapeId="0">
      <text>
        <r>
          <rPr>
            <b/>
            <sz val="8"/>
            <color indexed="81"/>
            <rFont val="Tahoma"/>
            <family val="2"/>
          </rPr>
          <t>Assume structures are on one acre.</t>
        </r>
      </text>
    </comment>
    <comment ref="R398" authorId="2" shapeId="0">
      <text>
        <r>
          <rPr>
            <b/>
            <sz val="8"/>
            <color indexed="81"/>
            <rFont val="Tahoma"/>
            <family val="2"/>
          </rPr>
          <t>For 1 acre.</t>
        </r>
      </text>
    </comment>
  </commentList>
</comments>
</file>

<file path=xl/comments3.xml><?xml version="1.0" encoding="utf-8"?>
<comments xmlns="http://schemas.openxmlformats.org/spreadsheetml/2006/main">
  <authors>
    <author>Sensei</author>
  </authors>
  <commentList>
    <comment ref="J16" authorId="0" shape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AA16" authorId="0" shape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AI16" authorId="0" shape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AQ16" authorId="0" shape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Originally named Gentian Andresei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AI40" authorId="0" shape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AQ40" authorId="0" shapeId="0">
      <text>
        <r>
          <rPr>
            <b/>
            <sz val="9"/>
            <color indexed="81"/>
            <rFont val="Tahoma"/>
            <family val="2"/>
          </rPr>
          <t>Not available in 2015 but may be available later.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Originally named Gentian Andresei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H98" authorId="0" shapeId="0">
      <text>
        <r>
          <rPr>
            <b/>
            <sz val="8"/>
            <color indexed="81"/>
            <rFont val="Tahoma"/>
            <family val="2"/>
          </rPr>
          <t>Converted from quarts to gallons.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Sensei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If less than 1 acre then same for one acre. If more than 1 acre then divide by bee pasture acreage.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<sst xmlns="http://schemas.openxmlformats.org/spreadsheetml/2006/main" count="3881" uniqueCount="754">
  <si>
    <t>lb/acre</t>
  </si>
  <si>
    <t xml:space="preserve">Price: </t>
  </si>
  <si>
    <t>Per Acre</t>
  </si>
  <si>
    <t>Number of Acres</t>
  </si>
  <si>
    <t>Annual Operating Expenses</t>
  </si>
  <si>
    <t xml:space="preserve">        Granular</t>
  </si>
  <si>
    <t>Chemicals</t>
  </si>
  <si>
    <t xml:space="preserve">        Fungicides</t>
  </si>
  <si>
    <t xml:space="preserve">        Insecticides</t>
  </si>
  <si>
    <t>Labor</t>
  </si>
  <si>
    <t>Total Labor</t>
  </si>
  <si>
    <t xml:space="preserve">        Maintenance &amp; Repair Equipment</t>
  </si>
  <si>
    <t>Total Gal</t>
  </si>
  <si>
    <t>Total Fuel</t>
  </si>
  <si>
    <t>Maintenance and Upkeep</t>
  </si>
  <si>
    <t>Miscellaneous</t>
  </si>
  <si>
    <t xml:space="preserve">        Custom Hire</t>
  </si>
  <si>
    <t xml:space="preserve">        Hauling &amp; Trucking</t>
  </si>
  <si>
    <t xml:space="preserve">        Packaging</t>
  </si>
  <si>
    <t xml:space="preserve">        Shipping</t>
  </si>
  <si>
    <t xml:space="preserve">        Storage &amp; Warehousing</t>
  </si>
  <si>
    <t xml:space="preserve">        Supplies</t>
  </si>
  <si>
    <t xml:space="preserve">        Utilities</t>
  </si>
  <si>
    <t>Interest</t>
  </si>
  <si>
    <t>Total Operating Expenses</t>
  </si>
  <si>
    <t>Total Overhead Expenses</t>
  </si>
  <si>
    <t>Annual Ownership Expenses</t>
  </si>
  <si>
    <t>Depreciation and Interest</t>
  </si>
  <si>
    <t xml:space="preserve">        Buildings &amp; Structures</t>
  </si>
  <si>
    <t xml:space="preserve">        Tools</t>
  </si>
  <si>
    <t xml:space="preserve">        Tractors &amp; Vehicles</t>
  </si>
  <si>
    <t xml:space="preserve">        Land</t>
  </si>
  <si>
    <t>Interest on Loans</t>
  </si>
  <si>
    <t>Taxes</t>
  </si>
  <si>
    <t>Total Ownership Expenses</t>
  </si>
  <si>
    <t>Short-run to Cover Operating Costs</t>
  </si>
  <si>
    <t>acres</t>
  </si>
  <si>
    <t>$/acre</t>
  </si>
  <si>
    <t>Application</t>
  </si>
  <si>
    <t>months</t>
  </si>
  <si>
    <t xml:space="preserve">          Compost</t>
  </si>
  <si>
    <t>Utilities</t>
  </si>
  <si>
    <t xml:space="preserve">     Travel (i.e. Lodging)</t>
  </si>
  <si>
    <t xml:space="preserve">     Conferences</t>
  </si>
  <si>
    <t xml:space="preserve">     Legal &amp; Accounting</t>
  </si>
  <si>
    <t>Depreciation</t>
  </si>
  <si>
    <t>Interest on Capital Investments</t>
  </si>
  <si>
    <t xml:space="preserve">              Nitrogen (N)</t>
  </si>
  <si>
    <t xml:space="preserve">              Phosphorus (P)</t>
  </si>
  <si>
    <t xml:space="preserve">              Potassium (K)</t>
  </si>
  <si>
    <t>payment</t>
  </si>
  <si>
    <t>?</t>
  </si>
  <si>
    <t xml:space="preserve">hour </t>
  </si>
  <si>
    <t>Time unit</t>
  </si>
  <si>
    <t>Wage rate</t>
  </si>
  <si>
    <t>container</t>
  </si>
  <si>
    <t>job</t>
  </si>
  <si>
    <t>haul</t>
  </si>
  <si>
    <t>package</t>
  </si>
  <si>
    <t>ship</t>
  </si>
  <si>
    <t>store</t>
  </si>
  <si>
    <t>year</t>
  </si>
  <si>
    <t>Fuel &amp; Lube (General)</t>
  </si>
  <si>
    <t>Fuel unit</t>
  </si>
  <si>
    <t>gallon</t>
  </si>
  <si>
    <t>Fuel price</t>
  </si>
  <si>
    <t>Gal/Acre</t>
  </si>
  <si>
    <t>Heating</t>
  </si>
  <si>
    <r>
      <t>Enterprise Name</t>
    </r>
    <r>
      <rPr>
        <b/>
        <sz val="18"/>
        <rFont val="Times New Roman"/>
        <family val="1"/>
      </rPr>
      <t>:</t>
    </r>
  </si>
  <si>
    <t>worked/yr</t>
  </si>
  <si>
    <t xml:space="preserve">         Vehicle(s) </t>
  </si>
  <si>
    <t>Yield/Acre</t>
  </si>
  <si>
    <t>Input Q</t>
  </si>
  <si>
    <t>Min</t>
  </si>
  <si>
    <t>Max</t>
  </si>
  <si>
    <t>-</t>
  </si>
  <si>
    <t>Year(s)</t>
  </si>
  <si>
    <t>Last</t>
  </si>
  <si>
    <t>Useful Life</t>
  </si>
  <si>
    <t>Yr(s) Last</t>
  </si>
  <si>
    <t>Use.Lf.Min</t>
  </si>
  <si>
    <t>Use.Lf.Max</t>
  </si>
  <si>
    <t>Apps</t>
  </si>
  <si>
    <t>Wrkrs/Aps</t>
  </si>
  <si>
    <t>Value /</t>
  </si>
  <si>
    <t>Input</t>
  </si>
  <si>
    <t>Labor (Other expenses)</t>
  </si>
  <si>
    <t xml:space="preserve">       Other Expense (?)</t>
  </si>
  <si>
    <t xml:space="preserve">           Other Expense (?)</t>
  </si>
  <si>
    <t xml:space="preserve">          Brush Hog</t>
  </si>
  <si>
    <t xml:space="preserve">         ATV(s)</t>
  </si>
  <si>
    <t>Yield/Quant.</t>
  </si>
  <si>
    <t>Input Price</t>
  </si>
  <si>
    <t xml:space="preserve">      Oil</t>
  </si>
  <si>
    <t xml:space="preserve">      Propane</t>
  </si>
  <si>
    <t xml:space="preserve">      Wood</t>
  </si>
  <si>
    <t xml:space="preserve">       Other Heat Source (?)</t>
  </si>
  <si>
    <t xml:space="preserve">      Containers</t>
  </si>
  <si>
    <t xml:space="preserve">      Custom Hire</t>
  </si>
  <si>
    <t xml:space="preserve">      Hauling and Trucking</t>
  </si>
  <si>
    <t xml:space="preserve">      Packaging </t>
  </si>
  <si>
    <t xml:space="preserve">      Shipping </t>
  </si>
  <si>
    <t xml:space="preserve">      Storage &amp; Warehousing</t>
  </si>
  <si>
    <t xml:space="preserve">      Supplies</t>
  </si>
  <si>
    <t xml:space="preserve">       Other Utilities (?)</t>
  </si>
  <si>
    <t xml:space="preserve">     Electricity</t>
  </si>
  <si>
    <t xml:space="preserve">       Buildings &amp; Structures</t>
  </si>
  <si>
    <t xml:space="preserve">     Repair &amp; Management</t>
  </si>
  <si>
    <t xml:space="preserve">     Tractors &amp; Vehicles</t>
  </si>
  <si>
    <r>
      <t xml:space="preserve">       Land </t>
    </r>
    <r>
      <rPr>
        <i/>
        <sz val="18"/>
        <rFont val="Times New Roman"/>
        <family val="1"/>
      </rPr>
      <t/>
    </r>
  </si>
  <si>
    <t xml:space="preserve">     Equipment</t>
  </si>
  <si>
    <t xml:space="preserve">     Liability</t>
  </si>
  <si>
    <t xml:space="preserve">     Property</t>
  </si>
  <si>
    <t xml:space="preserve">          Backhoe</t>
  </si>
  <si>
    <t xml:space="preserve">          Bucketloader</t>
  </si>
  <si>
    <t>Return over Variable Cost (ROVC)</t>
  </si>
  <si>
    <t>Performance Measures</t>
  </si>
  <si>
    <t xml:space="preserve">Breakeven Revenue </t>
  </si>
  <si>
    <t>Long-run to Cover All Costs</t>
  </si>
  <si>
    <t>Long-run Return to Owner Labor</t>
  </si>
  <si>
    <t>Short-run Return to Owner Labor</t>
  </si>
  <si>
    <t>Return to Owner Labor</t>
  </si>
  <si>
    <t>Total Variable Costs</t>
  </si>
  <si>
    <t>Annual Variable Costs</t>
  </si>
  <si>
    <t>Annual Fixed Costs</t>
  </si>
  <si>
    <t>Total Fixed Costs</t>
  </si>
  <si>
    <t>Short-run to Cover Variable Costs</t>
  </si>
  <si>
    <t>Insurance</t>
  </si>
  <si>
    <t>Tax</t>
  </si>
  <si>
    <t>Hourly</t>
  </si>
  <si>
    <t>Value</t>
  </si>
  <si>
    <t>Salvage</t>
  </si>
  <si>
    <t>Useful</t>
  </si>
  <si>
    <t>Life</t>
  </si>
  <si>
    <t xml:space="preserve">Interest </t>
  </si>
  <si>
    <t>Rate</t>
  </si>
  <si>
    <t>n/a</t>
  </si>
  <si>
    <t xml:space="preserve">     Oil</t>
  </si>
  <si>
    <t xml:space="preserve">     Advertising and Marketing</t>
  </si>
  <si>
    <t>Number</t>
  </si>
  <si>
    <t>Paid</t>
  </si>
  <si>
    <t>Price</t>
  </si>
  <si>
    <t>Quantity</t>
  </si>
  <si>
    <t>Unit</t>
  </si>
  <si>
    <t>lb</t>
  </si>
  <si>
    <t>ton</t>
  </si>
  <si>
    <t>cord</t>
  </si>
  <si>
    <t>/unit</t>
  </si>
  <si>
    <t>Family</t>
  </si>
  <si>
    <t>Assumed</t>
  </si>
  <si>
    <t>hrs.worked</t>
  </si>
  <si>
    <t>/ month</t>
  </si>
  <si>
    <t xml:space="preserve">          Barn(s)</t>
  </si>
  <si>
    <t xml:space="preserve">          House</t>
  </si>
  <si>
    <t xml:space="preserve">          Greenhouse(s)</t>
  </si>
  <si>
    <t xml:space="preserve">          Crop Storage(s)</t>
  </si>
  <si>
    <t>Price ($/lb)</t>
  </si>
  <si>
    <t>Hr/Acre</t>
  </si>
  <si>
    <t>Gallons</t>
  </si>
  <si>
    <t>Hours</t>
  </si>
  <si>
    <t>Annual Overhead Costs</t>
  </si>
  <si>
    <t xml:space="preserve">      Rent or Lease (Land)</t>
  </si>
  <si>
    <t>Total Overhead Costs</t>
  </si>
  <si>
    <t xml:space="preserve">     Generalized Fuel</t>
  </si>
  <si>
    <t>Other Sales (?)</t>
  </si>
  <si>
    <t>Amt/Acre</t>
  </si>
  <si>
    <t>hours  =</t>
  </si>
  <si>
    <t>months  =</t>
  </si>
  <si>
    <t>wrk.equiv.</t>
  </si>
  <si>
    <r>
      <t xml:space="preserve">Labor Worker Equivalents </t>
    </r>
    <r>
      <rPr>
        <sz val="18"/>
        <rFont val="Times New Roman"/>
        <family val="1"/>
      </rPr>
      <t>(wrk.equiv.)</t>
    </r>
  </si>
  <si>
    <t xml:space="preserve">           Other (?)</t>
  </si>
  <si>
    <t>Interest on Operating Loan</t>
  </si>
  <si>
    <t xml:space="preserve"> Input Price</t>
  </si>
  <si>
    <t>Owner</t>
  </si>
  <si>
    <t>Acres</t>
  </si>
  <si>
    <t>Labor Hrs. from Operations</t>
  </si>
  <si>
    <t>hours</t>
  </si>
  <si>
    <t xml:space="preserve">          Computer </t>
  </si>
  <si>
    <t>Maintenance &amp; Upkeep</t>
  </si>
  <si>
    <t xml:space="preserve">          Equipment Storage(s)</t>
  </si>
  <si>
    <t>% Salvage</t>
  </si>
  <si>
    <t xml:space="preserve">    Equipment</t>
  </si>
  <si>
    <t xml:space="preserve">    Property</t>
  </si>
  <si>
    <t>Total</t>
  </si>
  <si>
    <t>Annual Revenue</t>
  </si>
  <si>
    <t>Total Annual Cost</t>
  </si>
  <si>
    <t xml:space="preserve">      Health Insurance &amp; Retirement</t>
  </si>
  <si>
    <t xml:space="preserve">      FICA/Workers Compensation</t>
  </si>
  <si>
    <t xml:space="preserve">          Farm Equipment</t>
  </si>
  <si>
    <t xml:space="preserve">          Transport</t>
  </si>
  <si>
    <t xml:space="preserve">          Travel</t>
  </si>
  <si>
    <t>Total Input</t>
  </si>
  <si>
    <t>Value/Unit</t>
  </si>
  <si>
    <t>Total Value</t>
  </si>
  <si>
    <t>Inter.Rate</t>
  </si>
  <si>
    <t>Annual Costs</t>
  </si>
  <si>
    <t>mpg</t>
  </si>
  <si>
    <t xml:space="preserve">         Trailer(s)  - For 5 ton Trucks</t>
  </si>
  <si>
    <t>Total Hours</t>
  </si>
  <si>
    <t>Maintenance</t>
  </si>
  <si>
    <t>acre</t>
  </si>
  <si>
    <t>Equipment</t>
  </si>
  <si>
    <t>(lb/acre)</t>
  </si>
  <si>
    <t xml:space="preserve">        Containers</t>
  </si>
  <si>
    <t xml:space="preserve">        Oil</t>
  </si>
  <si>
    <t>Diesel Fuel and Oil (Itemized)</t>
  </si>
  <si>
    <t>Diesel Fuel and Oil (General)</t>
  </si>
  <si>
    <t>Labor (Other Expenses)</t>
  </si>
  <si>
    <t xml:space="preserve">        Other</t>
  </si>
  <si>
    <t>Fertilizer</t>
  </si>
  <si>
    <t>quart</t>
  </si>
  <si>
    <t>Model:</t>
  </si>
  <si>
    <t xml:space="preserve">Scale: </t>
  </si>
  <si>
    <t xml:space="preserve">Yield: </t>
  </si>
  <si>
    <t>lbs/acre</t>
  </si>
  <si>
    <t>/lb</t>
  </si>
  <si>
    <t xml:space="preserve">        Rent or Lease (Land)</t>
  </si>
  <si>
    <t>Percent used for Strip</t>
  </si>
  <si>
    <t>lb/cord</t>
  </si>
  <si>
    <t>Acres Clover</t>
  </si>
  <si>
    <t>Acres Wildflower</t>
  </si>
  <si>
    <t>Acres Total</t>
  </si>
  <si>
    <t>Bee Pasture Strip Stand Life</t>
  </si>
  <si>
    <t>Value-Added Sales (Unsown)</t>
  </si>
  <si>
    <t>Value-Added Sales (Clover)</t>
  </si>
  <si>
    <t>Value-Added Sales (Wildflower)</t>
  </si>
  <si>
    <t>Value-Added Sales (?)</t>
  </si>
  <si>
    <t xml:space="preserve">       Fertilizer</t>
  </si>
  <si>
    <t xml:space="preserve">           Chemical/Mineral (?-?-?)</t>
  </si>
  <si>
    <t xml:space="preserve">          Manure</t>
  </si>
  <si>
    <t>Additives/Fertilizer</t>
  </si>
  <si>
    <t xml:space="preserve">      Fungicides/Herbicides/Insecticides</t>
  </si>
  <si>
    <t>Input Quantity</t>
  </si>
  <si>
    <t xml:space="preserve">         Fungicide (?)</t>
  </si>
  <si>
    <t xml:space="preserve">         Insecticide (?)</t>
  </si>
  <si>
    <t>Fungicides/Herbicides/Insecticides</t>
  </si>
  <si>
    <t xml:space="preserve">      Lime</t>
  </si>
  <si>
    <t>Lime</t>
  </si>
  <si>
    <t xml:space="preserve">      Seedlings</t>
  </si>
  <si>
    <t>seedling</t>
  </si>
  <si>
    <t>Seedlings</t>
  </si>
  <si>
    <t xml:space="preserve">      Seeds</t>
  </si>
  <si>
    <t>$/Acre in Est.Year</t>
  </si>
  <si>
    <t xml:space="preserve">         Seed (Sweet White Clover)</t>
  </si>
  <si>
    <t xml:space="preserve">         Seed (Medium Red Clover)</t>
  </si>
  <si>
    <t xml:space="preserve">         Seed (Crimson Clover)</t>
  </si>
  <si>
    <t xml:space="preserve">         Seed (Wildflower Mix)</t>
  </si>
  <si>
    <t xml:space="preserve">         Seed (Oat Nurse Crop)</t>
  </si>
  <si>
    <t>Seeds</t>
  </si>
  <si>
    <t>Min / 0.114 Acre</t>
  </si>
  <si>
    <t xml:space="preserve">      Site Selection</t>
  </si>
  <si>
    <t xml:space="preserve">      Soil Test</t>
  </si>
  <si>
    <t xml:space="preserve">      Order &amp; Handle Seed</t>
  </si>
  <si>
    <t xml:space="preserve">      Sourcing Equipment</t>
  </si>
  <si>
    <t xml:space="preserve">      Site Preparation</t>
  </si>
  <si>
    <t xml:space="preserve">           Herbicide (Broad spectrum)</t>
  </si>
  <si>
    <t xml:space="preserve">           Brush Hog</t>
  </si>
  <si>
    <t xml:space="preserve">           Mowing</t>
  </si>
  <si>
    <t xml:space="preserve">           Pick Rocks (Backhoe)</t>
  </si>
  <si>
    <t xml:space="preserve">           Pick Rocks (Bucketloader)</t>
  </si>
  <si>
    <t xml:space="preserve">           Pick Rocks (Truck)</t>
  </si>
  <si>
    <t xml:space="preserve">      COVER CROP</t>
  </si>
  <si>
    <t xml:space="preserve">      Unloading / Loading Equipment</t>
  </si>
  <si>
    <t xml:space="preserve">      1st Tillage Cover (Tractor tiller)</t>
  </si>
  <si>
    <t xml:space="preserve">      1st Tillage Cover (Walk-behind tiller)</t>
  </si>
  <si>
    <t xml:space="preserve">      Spread Lime (Mechanical)</t>
  </si>
  <si>
    <t xml:space="preserve">      Spread Lime (Hand)</t>
  </si>
  <si>
    <t xml:space="preserve">      2nd Tillage Cover (Tractor tiller)</t>
  </si>
  <si>
    <t xml:space="preserve">      2nd Tillage Cover (Walk-behind tiller)</t>
  </si>
  <si>
    <t xml:space="preserve">      Removal of Debris &amp; Raking</t>
  </si>
  <si>
    <t xml:space="preserve">      Raking</t>
  </si>
  <si>
    <t xml:space="preserve">      Sow Cover Crop (Mechanical)</t>
  </si>
  <si>
    <t xml:space="preserve">      Sow Cover Crop (Hand)</t>
  </si>
  <si>
    <t xml:space="preserve">      Rake Cover Crop (Mechanical)</t>
  </si>
  <si>
    <t xml:space="preserve">      Rake Cover Crop (Hand)</t>
  </si>
  <si>
    <t xml:space="preserve">      Watering</t>
  </si>
  <si>
    <t xml:space="preserve">      1st Tillage Strip (Tractor tiller)</t>
  </si>
  <si>
    <t xml:space="preserve">      1st Tillage Strip (Walk-behind tiller)</t>
  </si>
  <si>
    <t xml:space="preserve">      2nd Tillage Strip (Tractor tiller)</t>
  </si>
  <si>
    <t xml:space="preserve">      2nd Tillage Strip (Walk-behind tiller)</t>
  </si>
  <si>
    <t xml:space="preserve">      Sow Strip Clover (Mechanical)</t>
  </si>
  <si>
    <t xml:space="preserve">      Sow Strip Wildflowers (Mechanical)</t>
  </si>
  <si>
    <t xml:space="preserve">      Sow Strip Clover (Hand)</t>
  </si>
  <si>
    <t xml:space="preserve">      Sow Strip Wildflowers (Hand)</t>
  </si>
  <si>
    <t xml:space="preserve">      Sow Nurse Crop (Mechanical)</t>
  </si>
  <si>
    <t xml:space="preserve">      Sow Nurse Crop (Hand sow bare hand)</t>
  </si>
  <si>
    <t xml:space="preserve">      Compact/Roll Strip (Mechanical)</t>
  </si>
  <si>
    <t xml:space="preserve">      Compact/Roll Strip (Hand)</t>
  </si>
  <si>
    <t xml:space="preserve">      Native Drill &amp; Roll</t>
  </si>
  <si>
    <t xml:space="preserve">      Watering (Set up)</t>
  </si>
  <si>
    <t xml:space="preserve">      Watering (Application)</t>
  </si>
  <si>
    <t xml:space="preserve">      Install Electric Fence</t>
  </si>
  <si>
    <t xml:space="preserve">      Weed (Scout)</t>
  </si>
  <si>
    <t xml:space="preserve">      Weed (Mowing)</t>
  </si>
  <si>
    <t>Miles Driven</t>
  </si>
  <si>
    <t>Gal.Fuel</t>
  </si>
  <si>
    <t>Acres Planted</t>
  </si>
  <si>
    <t>With old tractor so use more use fuel</t>
  </si>
  <si>
    <t xml:space="preserve">      Sow Nurse Crop (Hand)</t>
  </si>
  <si>
    <t xml:space="preserve">          Weed (Scout)</t>
  </si>
  <si>
    <t xml:space="preserve">          Weed (Mowing)</t>
  </si>
  <si>
    <t>Fuel &amp; Lube</t>
  </si>
  <si>
    <t>Production &amp; Distribution</t>
  </si>
  <si>
    <t xml:space="preserve">      Rent or Lease (Equipment)</t>
  </si>
  <si>
    <t>lease</t>
  </si>
  <si>
    <t xml:space="preserve">      Rent Equipment (Tiller)</t>
  </si>
  <si>
    <t>day</t>
  </si>
  <si>
    <t xml:space="preserve">      Rent Equipment (Lime Spreader Push)</t>
  </si>
  <si>
    <t xml:space="preserve">      Rent Equipment (Hand Roller)</t>
  </si>
  <si>
    <t>supplies</t>
  </si>
  <si>
    <t>Equipment Rental</t>
  </si>
  <si>
    <t xml:space="preserve">     Dues &amp; Fees</t>
  </si>
  <si>
    <t xml:space="preserve">     Phone and Internet</t>
  </si>
  <si>
    <t>Overhead</t>
  </si>
  <si>
    <t xml:space="preserve">          Workshop / Repair Shop</t>
  </si>
  <si>
    <t>Buildings &amp; Structures</t>
  </si>
  <si>
    <t>Salvage Val.</t>
  </si>
  <si>
    <t>Ass.Sal.Val.</t>
  </si>
  <si>
    <t xml:space="preserve">          Lime Drop Spreader (Mechanical)</t>
  </si>
  <si>
    <t xml:space="preserve">          Tillage (Plow)</t>
  </si>
  <si>
    <t xml:space="preserve">          Tillage (Harrow)</t>
  </si>
  <si>
    <t xml:space="preserve">          Tillage (Tiller)</t>
  </si>
  <si>
    <t xml:space="preserve">          Raker</t>
  </si>
  <si>
    <t xml:space="preserve">          Seed Spin Spreader (Mechanical)</t>
  </si>
  <si>
    <t xml:space="preserve">          Seed Spin Spreader (Manual)</t>
  </si>
  <si>
    <t xml:space="preserve">          Sprayer</t>
  </si>
  <si>
    <t xml:space="preserve">          Compacter/Roller</t>
  </si>
  <si>
    <t xml:space="preserve">          Native Seed Drill w/ Roller</t>
  </si>
  <si>
    <t xml:space="preserve">          Mower</t>
  </si>
  <si>
    <t xml:space="preserve">          Irrigation</t>
  </si>
  <si>
    <t xml:space="preserve">          Electric Fence</t>
  </si>
  <si>
    <t xml:space="preserve">          Extra More Sturdy Fenceposts</t>
  </si>
  <si>
    <t xml:space="preserve">          Battery</t>
  </si>
  <si>
    <t xml:space="preserve">          Chargers</t>
  </si>
  <si>
    <t xml:space="preserve">         Tractor(s)</t>
  </si>
  <si>
    <t xml:space="preserve">         Truck(s)</t>
  </si>
  <si>
    <t>Tractor &amp; ATV</t>
  </si>
  <si>
    <t>Land</t>
  </si>
  <si>
    <t>Property Value</t>
  </si>
  <si>
    <t>$1000 val</t>
  </si>
  <si>
    <t>Tax &amp; Insurance</t>
  </si>
  <si>
    <t>Hired</t>
  </si>
  <si>
    <t>Input Quant. / Plot</t>
  </si>
  <si>
    <t>Plot</t>
  </si>
  <si>
    <t>Appl.Rate</t>
  </si>
  <si>
    <t>Gal / 0.114 Acre</t>
  </si>
  <si>
    <t>Acres Natural</t>
  </si>
  <si>
    <t>Amt. / 0.114 Acre</t>
  </si>
  <si>
    <t>Fence</t>
  </si>
  <si>
    <t># for Plot</t>
  </si>
  <si>
    <t xml:space="preserve">        Herbicides</t>
  </si>
  <si>
    <t>Seed</t>
  </si>
  <si>
    <t xml:space="preserve">     Establish Bee Pasture</t>
  </si>
  <si>
    <t xml:space="preserve">        Soil Test</t>
  </si>
  <si>
    <t xml:space="preserve">        Site Preparation</t>
  </si>
  <si>
    <t xml:space="preserve">        Source Equipment</t>
  </si>
  <si>
    <t xml:space="preserve">     Cover Crop</t>
  </si>
  <si>
    <t xml:space="preserve">     Bee Pasture Strip</t>
  </si>
  <si>
    <t xml:space="preserve">        Unloading/Loading Equipment</t>
  </si>
  <si>
    <t xml:space="preserve">        Spread Lime</t>
  </si>
  <si>
    <t xml:space="preserve">        Removal of Debris &amp; Raking</t>
  </si>
  <si>
    <t xml:space="preserve">        Sow Strip</t>
  </si>
  <si>
    <t xml:space="preserve">        Compact/Roll Strip</t>
  </si>
  <si>
    <t xml:space="preserve">        Native Drill &amp; Roll</t>
  </si>
  <si>
    <t xml:space="preserve">        Watering</t>
  </si>
  <si>
    <t xml:space="preserve">        Install Electric Fence</t>
  </si>
  <si>
    <t xml:space="preserve">     Bee Pasture Annual Maintenance</t>
  </si>
  <si>
    <t xml:space="preserve">        Weed Scout</t>
  </si>
  <si>
    <t xml:space="preserve">        Weed Mowing</t>
  </si>
  <si>
    <t xml:space="preserve">      Maintenance &amp; Repair Equipment</t>
  </si>
  <si>
    <t xml:space="preserve">          Maintenance &amp; Repair Equipment</t>
  </si>
  <si>
    <t xml:space="preserve">        Rent or Lease (Equipment)</t>
  </si>
  <si>
    <t xml:space="preserve">        Rent or Lease (Tiller)</t>
  </si>
  <si>
    <t xml:space="preserve">        Rent or Lease (Lime Spreader Push)</t>
  </si>
  <si>
    <t xml:space="preserve">        Rent or Lease (Hand Roller)</t>
  </si>
  <si>
    <t xml:space="preserve">        Bee Pasture Equipment</t>
  </si>
  <si>
    <t>Acre=0/Lb=1</t>
  </si>
  <si>
    <t>Return to Total Labor</t>
  </si>
  <si>
    <t xml:space="preserve">      Order &amp; Handle Seed &amp; Supplies</t>
  </si>
  <si>
    <t xml:space="preserve">        Order &amp; Handle Seed &amp; Supplies</t>
  </si>
  <si>
    <t xml:space="preserve">           Sod Cutter</t>
  </si>
  <si>
    <t xml:space="preserve">           Plastic Tarps to Smother</t>
  </si>
  <si>
    <t xml:space="preserve">          Sprayer (Backpack)</t>
  </si>
  <si>
    <t xml:space="preserve">          Tillage (Troy Built Rototiller)</t>
  </si>
  <si>
    <t xml:space="preserve">          Tillage (Tiller pulled by ATV)</t>
  </si>
  <si>
    <t xml:space="preserve">          Tillage (Tiller for Tractor)</t>
  </si>
  <si>
    <t xml:space="preserve">          Sod Cutter</t>
  </si>
  <si>
    <t xml:space="preserve">          Cinder Blocks - Smother</t>
  </si>
  <si>
    <t>Input P</t>
  </si>
  <si>
    <t>Length</t>
  </si>
  <si>
    <t>Width</t>
  </si>
  <si>
    <t>feet</t>
  </si>
  <si>
    <t>Area</t>
  </si>
  <si>
    <t>square feet</t>
  </si>
  <si>
    <t xml:space="preserve">      Seed Ammendments</t>
  </si>
  <si>
    <t xml:space="preserve">         Sand</t>
  </si>
  <si>
    <t xml:space="preserve">         Vermiculite</t>
  </si>
  <si>
    <t>Seed Ammendments</t>
  </si>
  <si>
    <t>Sub-Plot</t>
  </si>
  <si>
    <t>cup</t>
  </si>
  <si>
    <t>Square feet</t>
  </si>
  <si>
    <t>Total Cost</t>
  </si>
  <si>
    <t>Cost/Sq.Ft.</t>
  </si>
  <si>
    <t>PLANTING</t>
  </si>
  <si>
    <t xml:space="preserve">          Plastic Tarp(s) - Smother (sq.ft.)</t>
  </si>
  <si>
    <t>per 4 blocks</t>
  </si>
  <si>
    <t>Blocks</t>
  </si>
  <si>
    <t>Quant./Plot</t>
  </si>
  <si>
    <t>Tilled</t>
  </si>
  <si>
    <t>Plastic</t>
  </si>
  <si>
    <t xml:space="preserve">          Culti-Packer</t>
  </si>
  <si>
    <t xml:space="preserve">          Mower (Push)</t>
  </si>
  <si>
    <t xml:space="preserve">          Mower (Riding)</t>
  </si>
  <si>
    <t xml:space="preserve">          Mower (Regular for Tractor)</t>
  </si>
  <si>
    <t xml:space="preserve">          Mower (Flail for Tractor)</t>
  </si>
  <si>
    <t>Sq.Ft./Seedling</t>
  </si>
  <si>
    <t>Sq.Ft.=0/W=1</t>
  </si>
  <si>
    <t>Sq.Ft. Total</t>
  </si>
  <si>
    <t>Cost</t>
  </si>
  <si>
    <t>Cost/Lb</t>
  </si>
  <si>
    <t>Area covered (acres)</t>
  </si>
  <si>
    <t>seeds/sq.ft.</t>
  </si>
  <si>
    <t>BB Pasture Plot</t>
  </si>
  <si>
    <t>Cups/Cub.Ft.</t>
  </si>
  <si>
    <t>Cost ($/Cub.Ft.)</t>
  </si>
  <si>
    <t>Cost ($/Cup)</t>
  </si>
  <si>
    <t>Cups/Sub-Plot</t>
  </si>
  <si>
    <t>Cups/Sq.Ft.</t>
  </si>
  <si>
    <t>% Used</t>
  </si>
  <si>
    <t>TOTAL</t>
  </si>
  <si>
    <t>Square Feet</t>
  </si>
  <si>
    <t>Establish System</t>
  </si>
  <si>
    <t xml:space="preserve">      Spray Herbicide (Roundup - Backpack)</t>
  </si>
  <si>
    <t xml:space="preserve">      Removal of Debris &amp;/or Raking</t>
  </si>
  <si>
    <t xml:space="preserve">        Education &amp; Site Selection</t>
  </si>
  <si>
    <t xml:space="preserve">      Education</t>
  </si>
  <si>
    <t xml:space="preserve">          Rake - Metal landscaping</t>
  </si>
  <si>
    <t xml:space="preserve">           Tools (?)</t>
  </si>
  <si>
    <t>Oz/Gal.Water</t>
  </si>
  <si>
    <t>Sq.Ft./Gal.Water</t>
  </si>
  <si>
    <t xml:space="preserve">         Herbicide (1st Spray of Roundup)</t>
  </si>
  <si>
    <t xml:space="preserve">         Herbicide (2nd Spray of Roundup)</t>
  </si>
  <si>
    <t xml:space="preserve">         Herbicide (3rd Spray of Roundup)</t>
  </si>
  <si>
    <t>Time (minutes)</t>
  </si>
  <si>
    <t>Area Covered</t>
  </si>
  <si>
    <t>Hr/Sq.Ft.</t>
  </si>
  <si>
    <t xml:space="preserve">          Paint Bucket(s) for Seeding</t>
  </si>
  <si>
    <t xml:space="preserve">      Transplant Seedling (Hand)</t>
  </si>
  <si>
    <t>Minutes / 0.069 Acre</t>
  </si>
  <si>
    <t>Minutes / Transplant</t>
  </si>
  <si>
    <t>Hr / Transplant</t>
  </si>
  <si>
    <t xml:space="preserve">        Transplant Seedling</t>
  </si>
  <si>
    <t>Seedling / Seed</t>
  </si>
  <si>
    <t>Seedling</t>
  </si>
  <si>
    <t>Used</t>
  </si>
  <si>
    <t xml:space="preserve">      Sow Strip Wildflowers (Hand - Mix)</t>
  </si>
  <si>
    <t xml:space="preserve">      Sow Strip Wildflowers (Hand - Broadcast)</t>
  </si>
  <si>
    <t xml:space="preserve">         Herbicide (Poast - Crabgrass)</t>
  </si>
  <si>
    <t xml:space="preserve">          Bulb Cutter for Transplanting</t>
  </si>
  <si>
    <t xml:space="preserve">          Trowel for Transplanting</t>
  </si>
  <si>
    <t>Sod Cutter</t>
  </si>
  <si>
    <t>Per 1,000 Sq.Ft.</t>
  </si>
  <si>
    <t xml:space="preserve">      Adjuvants</t>
  </si>
  <si>
    <t>Adjuvants</t>
  </si>
  <si>
    <t xml:space="preserve">         Crop Oil (Used with Poast - Crabgrass)</t>
  </si>
  <si>
    <t>pint</t>
  </si>
  <si>
    <t>Crabgrass</t>
  </si>
  <si>
    <t>Poast</t>
  </si>
  <si>
    <t>None</t>
  </si>
  <si>
    <t>$/oz</t>
  </si>
  <si>
    <t>Assumed years applied</t>
  </si>
  <si>
    <t xml:space="preserve">      Spray Herbicide (Poast - Backpack)</t>
  </si>
  <si>
    <t xml:space="preserve">        Adjuvants</t>
  </si>
  <si>
    <t xml:space="preserve">        1st Tillage Strip (Clover/Wildflower)</t>
  </si>
  <si>
    <t xml:space="preserve">        2nd Tillage Strip (Clover/Wildflower)</t>
  </si>
  <si>
    <t xml:space="preserve">        Backpack Spray Herbicide (Roundup)</t>
  </si>
  <si>
    <t xml:space="preserve">        Tillage Strip</t>
  </si>
  <si>
    <t xml:space="preserve">        Backpack Spray Herbicide (Poast)</t>
  </si>
  <si>
    <t>$/1,000 sq.ft.</t>
  </si>
  <si>
    <t xml:space="preserve">          Hand Clippers</t>
  </si>
  <si>
    <t xml:space="preserve">      Weed (Hand Weed Invasives)</t>
  </si>
  <si>
    <t xml:space="preserve">        Weed Invasives by Hand</t>
  </si>
  <si>
    <t xml:space="preserve">          Weed (Hand Weed Invasives)</t>
  </si>
  <si>
    <t xml:space="preserve">          Adze for Transplanting</t>
  </si>
  <si>
    <t>Tillage Type</t>
  </si>
  <si>
    <t>Roto-tiller</t>
  </si>
  <si>
    <t>ATV Tiller</t>
  </si>
  <si>
    <t>Tractor Tiller</t>
  </si>
  <si>
    <t xml:space="preserve">      1st Tillage Strip (Roto-tiller)</t>
  </si>
  <si>
    <t xml:space="preserve">      1st Tillage Strip (ATV tiller)</t>
  </si>
  <si>
    <t xml:space="preserve">      2nd/3rd Tillage Strip (Tractor tiller)</t>
  </si>
  <si>
    <t xml:space="preserve">      2nd/3rd Tillage Strip (Roto-tiller)</t>
  </si>
  <si>
    <t xml:space="preserve">      2nd/3rd Tillage Strip (ATV tiller)</t>
  </si>
  <si>
    <t>Assumed years lag for seed vs. seedling</t>
  </si>
  <si>
    <t>Mowing Type</t>
  </si>
  <si>
    <t>Push</t>
  </si>
  <si>
    <t>Riding</t>
  </si>
  <si>
    <t>Regular for Tractor</t>
  </si>
  <si>
    <t>Flail for Tractor</t>
  </si>
  <si>
    <t xml:space="preserve">           Mowing Riding (Plastic Establishment)</t>
  </si>
  <si>
    <t xml:space="preserve">           Mowing Tractor Regular (Plastic Establishment)</t>
  </si>
  <si>
    <t xml:space="preserve">           Mowing Tractor Flail (Plastic Establishment)</t>
  </si>
  <si>
    <t xml:space="preserve">           Mowing Tractor Regular (Tilled Establishment)</t>
  </si>
  <si>
    <t xml:space="preserve">           Mowing Tractor Flail (Tilled Establishment)</t>
  </si>
  <si>
    <t xml:space="preserve">           Mowing Tractor Regular (Roundup Establishment)</t>
  </si>
  <si>
    <t xml:space="preserve">           Mowing Tractor Flail (Roundup Establishment)</t>
  </si>
  <si>
    <t xml:space="preserve">           Mowing Push (Plastic Establishment)</t>
  </si>
  <si>
    <t xml:space="preserve">           Mowing Push (Tilled Establishment)</t>
  </si>
  <si>
    <t xml:space="preserve">           Mowing Riding (Tilled Establishment)</t>
  </si>
  <si>
    <t xml:space="preserve">           Mowing Push (Roundup Establishment)</t>
  </si>
  <si>
    <t xml:space="preserve">           Mowing Riding (Roundup Establishment)</t>
  </si>
  <si>
    <t>Total Capital</t>
  </si>
  <si>
    <t xml:space="preserve">      Summer Weed (Mowing Push)</t>
  </si>
  <si>
    <t xml:space="preserve">      Summer Weed (Mowing Riding)</t>
  </si>
  <si>
    <t xml:space="preserve">      Summer Weed (Mowing Tractor Regular)</t>
  </si>
  <si>
    <t xml:space="preserve">      Fall Weed (Mowing Push)</t>
  </si>
  <si>
    <t xml:space="preserve">      Fall Weed (Mowing Riding)</t>
  </si>
  <si>
    <t xml:space="preserve">      Fall Weed (Mowing Tractor Regular)</t>
  </si>
  <si>
    <t xml:space="preserve">      Summer Weed (Mowing Tractor Flail)</t>
  </si>
  <si>
    <t xml:space="preserve">      Fall Weed (Mowing Tractor Flail)</t>
  </si>
  <si>
    <t xml:space="preserve">          Summer Weed (Mowing Push)</t>
  </si>
  <si>
    <t xml:space="preserve">          Summer Weed (Mowing Riding)</t>
  </si>
  <si>
    <t xml:space="preserve">          Summer Weed (Mowing Tractor Regular)</t>
  </si>
  <si>
    <t xml:space="preserve">          Summer Weed (Mowing Tractor Flail)</t>
  </si>
  <si>
    <t xml:space="preserve">          Fall Weed (Mowing Push)</t>
  </si>
  <si>
    <t xml:space="preserve">          Fall Weed (Mowing Riding)</t>
  </si>
  <si>
    <t xml:space="preserve">          Fall Weed (Mowing Tractor Regular)</t>
  </si>
  <si>
    <t xml:space="preserve">          Fall Weed (Mowing Tractor Flail)</t>
  </si>
  <si>
    <t xml:space="preserve">      Fall Weed Seedlings (Mowing Riding)</t>
  </si>
  <si>
    <t xml:space="preserve">      Fall Weed Seedlings (Mowing Push)</t>
  </si>
  <si>
    <t xml:space="preserve">      Fall Weed Seedlings (Mowing Tractor Regular)</t>
  </si>
  <si>
    <t xml:space="preserve">      Fall Weed Seedlings (Mowing Tractor Flail)</t>
  </si>
  <si>
    <t>Fall Mow Freqency (Yr)</t>
  </si>
  <si>
    <t xml:space="preserve">        Summer Weed Mowing (Year 1)</t>
  </si>
  <si>
    <t xml:space="preserve">        Summer/Fall Weed Mowing (Year 2)</t>
  </si>
  <si>
    <t xml:space="preserve">        Fall Weed Mowing (Year 3)</t>
  </si>
  <si>
    <t>Capital Type for Valuation</t>
  </si>
  <si>
    <t>Eupatorium perfoliatum</t>
  </si>
  <si>
    <t>Boneset</t>
  </si>
  <si>
    <t>Latin Name</t>
  </si>
  <si>
    <t>Common Name</t>
  </si>
  <si>
    <t>Agastache foeniculum</t>
  </si>
  <si>
    <t>Lavender Hyssop</t>
  </si>
  <si>
    <t>x</t>
  </si>
  <si>
    <t>Aguilegia canadensis</t>
  </si>
  <si>
    <t>Columbine/Wild Columbine</t>
  </si>
  <si>
    <t>Asclepias incarnata</t>
  </si>
  <si>
    <t>Asclepias tuberosa</t>
  </si>
  <si>
    <t>Baptisia tinctoria</t>
  </si>
  <si>
    <t>Wild Indigo</t>
  </si>
  <si>
    <t>Coreopsis lanceolata</t>
  </si>
  <si>
    <t>Lanceleaf Coreopsis</t>
  </si>
  <si>
    <t>Echinacea pallida</t>
  </si>
  <si>
    <t>Pale Purple Coneflower</t>
  </si>
  <si>
    <t>Echinacea purpurea</t>
  </si>
  <si>
    <t>Purple Coneflower</t>
  </si>
  <si>
    <t>Sweet Joe-Pye Weed</t>
  </si>
  <si>
    <t>Joe Pye Weed</t>
  </si>
  <si>
    <t>Heliopsis helianthoides</t>
  </si>
  <si>
    <t>Ox Eye Sunflower</t>
  </si>
  <si>
    <t>Helenium autumnale</t>
  </si>
  <si>
    <t>Dogtooth daisy</t>
  </si>
  <si>
    <t>Lobelia cardinalis</t>
  </si>
  <si>
    <t>Cardinal Flower</t>
  </si>
  <si>
    <t>Lobelia siphilitica</t>
  </si>
  <si>
    <t>Great blue lobelia</t>
  </si>
  <si>
    <t>Monarda punctata</t>
  </si>
  <si>
    <t>Spotted beebalm</t>
  </si>
  <si>
    <t>Monarda fistulosa</t>
  </si>
  <si>
    <t>Bergamot/Wild Bergamot</t>
  </si>
  <si>
    <t>Oligoneuron rigidum</t>
  </si>
  <si>
    <t>Stiff Goldenrod</t>
  </si>
  <si>
    <t>Penstemon digitalis</t>
  </si>
  <si>
    <t>Foxglove Beardtongue</t>
  </si>
  <si>
    <t>Ratibida pinnata</t>
  </si>
  <si>
    <t>Yellow Coneflower</t>
  </si>
  <si>
    <t>Rudbeckia hirta</t>
  </si>
  <si>
    <t>Black Eyed Susan</t>
  </si>
  <si>
    <t>Smooth aster</t>
  </si>
  <si>
    <t>Symphotrichum novae angliae</t>
  </si>
  <si>
    <t>New England Aster</t>
  </si>
  <si>
    <t>Verbena hastata</t>
  </si>
  <si>
    <t>Blue Vervain</t>
  </si>
  <si>
    <t>Vernonia fasciculata</t>
  </si>
  <si>
    <t>Ironweed</t>
  </si>
  <si>
    <t>Vernonia noveboriensis</t>
  </si>
  <si>
    <t>New York Ironweed</t>
  </si>
  <si>
    <t>Veronicastrum virginicum</t>
  </si>
  <si>
    <t>Culver's Root</t>
  </si>
  <si>
    <t>Zizia aurea</t>
  </si>
  <si>
    <t>Golden Alexanders</t>
  </si>
  <si>
    <t>Schizachyrium scoparium</t>
  </si>
  <si>
    <t>Little Bluestem*</t>
  </si>
  <si>
    <t>Sorghastrum nutans</t>
  </si>
  <si>
    <t>Indian Grass</t>
  </si>
  <si>
    <t>Elymus canadensis</t>
  </si>
  <si>
    <t>Canada Wild Rye*</t>
  </si>
  <si>
    <t>Elymus virginicus</t>
  </si>
  <si>
    <t>Virginia Wild Rye*</t>
  </si>
  <si>
    <t>Panicum virgatum</t>
  </si>
  <si>
    <t>Switchgrass</t>
  </si>
  <si>
    <t>Asclepias syriaca</t>
  </si>
  <si>
    <t>Baptisia australis</t>
  </si>
  <si>
    <t>Blue Wild Indigo</t>
  </si>
  <si>
    <t>Eutrochium purpureum</t>
  </si>
  <si>
    <t>Liatris spicata</t>
  </si>
  <si>
    <t>Dense Blazing Star</t>
  </si>
  <si>
    <t>Lupinus perennis</t>
  </si>
  <si>
    <t>Rudbeckia triloba</t>
  </si>
  <si>
    <t>Brown Eyed Susan</t>
  </si>
  <si>
    <t>Senna hebecarpa</t>
  </si>
  <si>
    <t>American Senna</t>
  </si>
  <si>
    <t>Solidago juncea</t>
  </si>
  <si>
    <t>Early Goldenrod</t>
  </si>
  <si>
    <t>Ohio Spiderwort</t>
  </si>
  <si>
    <t>Tradescantia</t>
  </si>
  <si>
    <t>Wild Lupine</t>
  </si>
  <si>
    <t>Eutrochium maculatum</t>
  </si>
  <si>
    <t>Seeding Rate (lb/acre)</t>
  </si>
  <si>
    <t>Seed Cost ($/lb)</t>
  </si>
  <si>
    <t>Seed Type</t>
  </si>
  <si>
    <t>Seedling Density (plants/sq.ft.)</t>
  </si>
  <si>
    <t>Seedling Cost ($/plant)</t>
  </si>
  <si>
    <t>Seedling Density (plants/acre)</t>
  </si>
  <si>
    <t>Individual (Wildflower)</t>
  </si>
  <si>
    <t>Individual (Grasses)</t>
  </si>
  <si>
    <t>UNH Woodman Farm</t>
  </si>
  <si>
    <t>SEEDLING=1; SEED=0</t>
  </si>
  <si>
    <t>Seeded Area (sq.ft.)</t>
  </si>
  <si>
    <t>Med-Dry Demo Plots</t>
  </si>
  <si>
    <t>Moist-Wet Demo Plots</t>
  </si>
  <si>
    <t>Med-Dry % Wt. Seedling Mix</t>
  </si>
  <si>
    <t>Med-Dry % Wt. Seeds in Mix</t>
  </si>
  <si>
    <t>Med-Dry % Wt. Seedlings in Mix</t>
  </si>
  <si>
    <t>Seeded BP Area (sq.ft.)</t>
  </si>
  <si>
    <t>Seedling BP Area (sq.ft.)</t>
  </si>
  <si>
    <t>Seed Cost ($)</t>
  </si>
  <si>
    <t>Seedling Cost ($)</t>
  </si>
  <si>
    <t>TOTAL SEED/SEEDLING COST ($)</t>
  </si>
  <si>
    <t>$/Acre for Seed</t>
  </si>
  <si>
    <t>$/Acre for Seedling</t>
  </si>
  <si>
    <t>$/1,000 Sq.Ft. for Seed</t>
  </si>
  <si>
    <t>$/1,000 Sq.Ft. for Seedling</t>
  </si>
  <si>
    <t>TOTAL SEED/SEEDLING COST ($/acre)</t>
  </si>
  <si>
    <t>TOTAL SEED/SEEDLING COST ($/1,000 sq.ft.)</t>
  </si>
  <si>
    <t>Moist-Wet % Wt. Seeds in Mix</t>
  </si>
  <si>
    <t>Moist-Wet % Wt. Seedling Mix</t>
  </si>
  <si>
    <t>Select ONE for Budget</t>
  </si>
  <si>
    <t>Med-Dry</t>
  </si>
  <si>
    <t>Wildflower=1; Grass=0</t>
  </si>
  <si>
    <t>Moist-Wet</t>
  </si>
  <si>
    <t>Establishment Type</t>
  </si>
  <si>
    <t>Seeded</t>
  </si>
  <si>
    <t>Total Seed (lb)</t>
  </si>
  <si>
    <t>Total Seedlings</t>
  </si>
  <si>
    <t xml:space="preserve">      Seedlings (From Selection)</t>
  </si>
  <si>
    <t>Seedling Area (sq.ft.)</t>
  </si>
  <si>
    <t xml:space="preserve">         Seed (Wildflr.Mix) - From Selection</t>
  </si>
  <si>
    <t xml:space="preserve">Swamp (red) Milkweed </t>
  </si>
  <si>
    <t>S/S Selected:</t>
  </si>
  <si>
    <t>Butterfly Milkweed</t>
  </si>
  <si>
    <t>Common Milkweed</t>
  </si>
  <si>
    <t>Cathy changed the boxes above</t>
  </si>
  <si>
    <t>Cathy made changes in the columns below</t>
  </si>
  <si>
    <t>o1</t>
  </si>
  <si>
    <t>o2</t>
  </si>
  <si>
    <t>o3</t>
  </si>
  <si>
    <t>Solidago speciosa</t>
  </si>
  <si>
    <t>Showy Goldenrod</t>
  </si>
  <si>
    <t>o4</t>
  </si>
  <si>
    <t>o5</t>
  </si>
  <si>
    <t>Gentiana clausa</t>
  </si>
  <si>
    <t>Closed Gentian</t>
  </si>
  <si>
    <t>% Wt. Seeds in Mix</t>
  </si>
  <si>
    <t>% Wt. Seedlings in Mix</t>
  </si>
  <si>
    <t>SEED</t>
  </si>
  <si>
    <t>SEEDLING</t>
  </si>
  <si>
    <t>o</t>
  </si>
  <si>
    <t>,m m ,k</t>
  </si>
  <si>
    <t>Symphotrichum laeve</t>
  </si>
  <si>
    <r>
      <rPr>
        <b/>
        <u/>
        <sz val="18"/>
        <rFont val="Times New Roman"/>
        <family val="1"/>
      </rPr>
      <t>Entity Name</t>
    </r>
    <r>
      <rPr>
        <b/>
        <sz val="18"/>
        <rFont val="Times New Roman"/>
        <family val="1"/>
      </rPr>
      <t>:</t>
    </r>
  </si>
  <si>
    <t>UNH % Used</t>
  </si>
  <si>
    <t>UNH PLANTING</t>
  </si>
  <si>
    <t>1) Please enter the area of your pollinator planting/pasture by defining the length and width of the planted area:</t>
  </si>
  <si>
    <t>Length =</t>
  </si>
  <si>
    <t>Width =</t>
  </si>
  <si>
    <r>
      <t>Please enter the following information into the highlighted cells to customize your pollinator planting/pasture</t>
    </r>
    <r>
      <rPr>
        <b/>
        <sz val="18"/>
        <rFont val="Times New Roman"/>
        <family val="1"/>
      </rPr>
      <t>:</t>
    </r>
  </si>
  <si>
    <t>2) Please enter expected stand life of your planting (years before you have to re-plant):</t>
  </si>
  <si>
    <t>(Default = NO = 0)</t>
  </si>
  <si>
    <t>3) Please specify if you are using the detailed "SEED-SEEDLING Selection" worksheet:</t>
  </si>
  <si>
    <t>4) Please specify if you are using a sod cutter during establishment:</t>
  </si>
  <si>
    <t>5) Please specify what percent of the planted area uses "seedling" versus "seed" as well as planting rate and cost per unit:</t>
  </si>
  <si>
    <t>/seedling</t>
  </si>
  <si>
    <t>lb/sq.ft.</t>
  </si>
  <si>
    <r>
      <t>6) Please specify the establishment system used (</t>
    </r>
    <r>
      <rPr>
        <b/>
        <i/>
        <sz val="18"/>
        <rFont val="Times New Roman"/>
        <family val="1"/>
      </rPr>
      <t>% should sum to 100%</t>
    </r>
    <r>
      <rPr>
        <b/>
        <sz val="18"/>
        <rFont val="Times New Roman"/>
        <family val="1"/>
      </rPr>
      <t>):</t>
    </r>
  </si>
  <si>
    <r>
      <t>7) If you are not using tillage, skip to question 8. Please specify the type of tillage used</t>
    </r>
    <r>
      <rPr>
        <b/>
        <sz val="18"/>
        <rFont val="Times New Roman"/>
        <family val="1"/>
      </rPr>
      <t>:</t>
    </r>
  </si>
  <si>
    <t>year(s) applied</t>
  </si>
  <si>
    <t>9) Please specify the percent of area using the following type(s) of mowing equipment:</t>
  </si>
  <si>
    <t>Net Firm Income (NFI)</t>
  </si>
  <si>
    <t>10) Please specify the frequency of fall maintenance mowing (Default = every fall = 1):</t>
  </si>
  <si>
    <t>year(s)</t>
  </si>
  <si>
    <t>sq.ft./seedling</t>
  </si>
  <si>
    <t>To change specific variable and fixed cost assumptions, please go the the "POLLINATOR PASTURE" worksheet and adjust highlighted cells.</t>
  </si>
  <si>
    <t>/acre</t>
  </si>
  <si>
    <t>11) Please enter the land value of where you are planting your pollinator pasture:</t>
  </si>
  <si>
    <t>12) Please enter the tax (mill rate) paid for every $1,000 of land and structural value:</t>
  </si>
  <si>
    <t>seedlings/acre</t>
  </si>
  <si>
    <t>Pollinator Planting Yield (lbs)</t>
  </si>
  <si>
    <t>Annual Pollinator Planting Budget</t>
  </si>
  <si>
    <t>Establishment Year Pollinator Planting Budget</t>
  </si>
  <si>
    <t>Assumed Labor Wage Rate:</t>
  </si>
  <si>
    <t>/hr</t>
  </si>
  <si>
    <t xml:space="preserve">          Earthway Seeder</t>
  </si>
  <si>
    <t>Org.Mulch</t>
  </si>
  <si>
    <t>bale</t>
  </si>
  <si>
    <t>bales/acre</t>
  </si>
  <si>
    <t xml:space="preserve">      Mulch</t>
  </si>
  <si>
    <t xml:space="preserve">           Mulch (Straw)</t>
  </si>
  <si>
    <t xml:space="preserve">         Other Seed (?)</t>
  </si>
  <si>
    <t>Mulch</t>
  </si>
  <si>
    <t>Minutes / 0.03125 acre</t>
  </si>
  <si>
    <t>Minutes / acre</t>
  </si>
  <si>
    <t>Hours / acre</t>
  </si>
  <si>
    <t xml:space="preserve">      Mulch Wildflower Strip</t>
  </si>
  <si>
    <t xml:space="preserve">        Mulch Wildflower Strip</t>
  </si>
  <si>
    <t>Planting</t>
  </si>
  <si>
    <t>Acres PP</t>
  </si>
  <si>
    <r>
      <t>Roundup</t>
    </r>
    <r>
      <rPr>
        <b/>
        <sz val="14"/>
        <rFont val="Calibri"/>
        <family val="2"/>
      </rPr>
      <t>®</t>
    </r>
  </si>
  <si>
    <r>
      <t>Poast</t>
    </r>
    <r>
      <rPr>
        <b/>
        <sz val="14"/>
        <rFont val="Calibri"/>
        <family val="2"/>
      </rPr>
      <t>®</t>
    </r>
  </si>
  <si>
    <r>
      <t>8) If you are not using Poast</t>
    </r>
    <r>
      <rPr>
        <b/>
        <sz val="14"/>
        <rFont val="Calibri"/>
        <family val="2"/>
      </rPr>
      <t>®</t>
    </r>
    <r>
      <rPr>
        <b/>
        <sz val="18"/>
        <rFont val="Times New Roman"/>
        <family val="1"/>
      </rPr>
      <t xml:space="preserve"> to control crabgrass, skip to question 9. Please specify the percent of area using Poast</t>
    </r>
    <r>
      <rPr>
        <b/>
        <sz val="14"/>
        <rFont val="Calibri"/>
        <family val="2"/>
      </rPr>
      <t>®</t>
    </r>
    <r>
      <rPr>
        <b/>
        <sz val="18"/>
        <rFont val="Times New Roman"/>
        <family val="1"/>
      </rPr>
      <t>:</t>
    </r>
  </si>
  <si>
    <t>POLLINATOR</t>
  </si>
  <si>
    <t>Labor (Establish pollinator planting)</t>
  </si>
  <si>
    <t xml:space="preserve">      POLLINATOR PLANTING STRIP</t>
  </si>
  <si>
    <t>Labor (Pollinator plant annual)</t>
  </si>
  <si>
    <t>Labor (Pollinator plant annual - Year 1)</t>
  </si>
  <si>
    <t>Labor (Pollinator plant annual - Year 2)</t>
  </si>
  <si>
    <t>Labor (Pollinator plant annual - Year 3)</t>
  </si>
  <si>
    <t>Itemized Fuel (Est. pollinator planting)</t>
  </si>
  <si>
    <t xml:space="preserve">     Itemized Fuel (Pollinator plant annual)</t>
  </si>
  <si>
    <t xml:space="preserve">     Itemized Fuel (Pollinator plant annual - Year 1)</t>
  </si>
  <si>
    <t xml:space="preserve">     Itemized Fuel (Pollinator plant annual - Year 2)</t>
  </si>
  <si>
    <t xml:space="preserve">     Itemized Fuel (Pollinator plant annual - Year 3)</t>
  </si>
  <si>
    <t xml:space="preserve">     Pollinator Plant Equipment</t>
  </si>
  <si>
    <t xml:space="preserve"> Planting(s)</t>
  </si>
  <si>
    <t>Planting Type</t>
  </si>
  <si>
    <t>Planting Length (ft)</t>
  </si>
  <si>
    <t>Planting Width (ft)</t>
  </si>
  <si>
    <t>Planting Area (sq.ft.)</t>
  </si>
  <si>
    <t>POLLINATOR PLANTING TEMPLATE</t>
  </si>
  <si>
    <t>% Planted as Seed</t>
  </si>
  <si>
    <t>% Planted as Seedling</t>
  </si>
  <si>
    <t>Pollinator Planting Length (ft)</t>
  </si>
  <si>
    <t>Pollinator Planting Width (ft)</t>
  </si>
  <si>
    <t>Roundup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</si>
</sst>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&quot;$&quot;#,##0.00"/>
    <numFmt numFmtId="168" formatCode="0.000"/>
    <numFmt numFmtId="169" formatCode="0.0"/>
    <numFmt numFmtId="170" formatCode="#,##0.0"/>
    <numFmt numFmtId="171" formatCode="_(* #,##0_);_(* \(#,##0\);_(* &quot;-&quot;??_);_(@_)"/>
    <numFmt numFmtId="172" formatCode="0.0000"/>
    <numFmt numFmtId="173" formatCode="&quot;$&quot;#,##0.000"/>
    <numFmt numFmtId="174" formatCode="&quot;$&quot;#,##0.0000"/>
    <numFmt numFmtId="175" formatCode="#,##0.000"/>
    <numFmt numFmtId="176" formatCode="0.000000"/>
    <numFmt numFmtId="177" formatCode="0.00000"/>
    <numFmt numFmtId="178" formatCode="0.000%"/>
    <numFmt numFmtId="179" formatCode="#,##0.0000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u/>
      <sz val="18"/>
      <name val="Times New Roman"/>
      <family val="1"/>
    </font>
    <font>
      <i/>
      <sz val="18"/>
      <name val="Arial"/>
      <family val="2"/>
    </font>
    <font>
      <u/>
      <sz val="18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Cambria"/>
      <family val="1"/>
    </font>
    <font>
      <i/>
      <sz val="10"/>
      <name val="Cambria"/>
      <family val="1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name val="Arial"/>
      <family val="2"/>
    </font>
    <font>
      <sz val="12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b/>
      <sz val="10"/>
      <color rgb="FFFF0000"/>
      <name val="Arial"/>
      <family val="2"/>
    </font>
    <font>
      <b/>
      <sz val="11"/>
      <name val="Cambria"/>
      <family val="1"/>
    </font>
    <font>
      <b/>
      <u/>
      <sz val="2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22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8" fillId="0" borderId="0"/>
    <xf numFmtId="0" fontId="28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</cellStyleXfs>
  <cellXfs count="685">
    <xf numFmtId="0" fontId="0" fillId="0" borderId="0" xfId="0"/>
    <xf numFmtId="0" fontId="22" fillId="24" borderId="7" xfId="0" applyFont="1" applyFill="1" applyBorder="1" applyAlignment="1">
      <alignment horizontal="left" indent="1"/>
    </xf>
    <xf numFmtId="0" fontId="22" fillId="24" borderId="7" xfId="29" applyNumberFormat="1" applyFont="1" applyFill="1" applyBorder="1" applyAlignment="1">
      <alignment horizontal="left"/>
    </xf>
    <xf numFmtId="0" fontId="22" fillId="24" borderId="7" xfId="29" applyNumberFormat="1" applyFont="1" applyFill="1" applyBorder="1" applyAlignment="1">
      <alignment horizontal="right"/>
    </xf>
    <xf numFmtId="3" fontId="22" fillId="24" borderId="7" xfId="29" applyNumberFormat="1" applyFont="1" applyFill="1" applyBorder="1" applyAlignment="1">
      <alignment horizontal="center"/>
    </xf>
    <xf numFmtId="9" fontId="22" fillId="24" borderId="7" xfId="43" applyFont="1" applyFill="1" applyBorder="1" applyAlignment="1">
      <alignment horizontal="right"/>
    </xf>
    <xf numFmtId="167" fontId="22" fillId="24" borderId="7" xfId="29" applyNumberFormat="1" applyFont="1" applyFill="1" applyBorder="1" applyAlignment="1">
      <alignment horizontal="center"/>
    </xf>
    <xf numFmtId="0" fontId="25" fillId="0" borderId="7" xfId="0" applyFont="1" applyBorder="1"/>
    <xf numFmtId="0" fontId="20" fillId="24" borderId="7" xfId="0" applyFont="1" applyFill="1" applyBorder="1" applyAlignment="1">
      <alignment horizontal="center"/>
    </xf>
    <xf numFmtId="164" fontId="20" fillId="0" borderId="7" xfId="29" applyNumberFormat="1" applyFont="1" applyBorder="1" applyAlignment="1">
      <alignment horizontal="right"/>
    </xf>
    <xf numFmtId="0" fontId="22" fillId="0" borderId="7" xfId="0" applyFont="1" applyBorder="1" applyAlignment="1">
      <alignment horizontal="left"/>
    </xf>
    <xf numFmtId="0" fontId="21" fillId="0" borderId="7" xfId="0" applyFont="1" applyBorder="1"/>
    <xf numFmtId="0" fontId="24" fillId="0" borderId="7" xfId="0" applyFont="1" applyBorder="1" applyAlignment="1">
      <alignment horizontal="right"/>
    </xf>
    <xf numFmtId="0" fontId="27" fillId="0" borderId="7" xfId="0" applyFont="1" applyBorder="1" applyAlignment="1">
      <alignment horizontal="center"/>
    </xf>
    <xf numFmtId="0" fontId="26" fillId="0" borderId="7" xfId="0" applyFont="1" applyBorder="1"/>
    <xf numFmtId="0" fontId="20" fillId="0" borderId="7" xfId="0" applyFont="1" applyBorder="1"/>
    <xf numFmtId="167" fontId="23" fillId="0" borderId="7" xfId="29" applyNumberFormat="1" applyFont="1" applyBorder="1" applyAlignment="1">
      <alignment horizontal="right"/>
    </xf>
    <xf numFmtId="164" fontId="23" fillId="0" borderId="7" xfId="29" applyNumberFormat="1" applyFont="1" applyBorder="1" applyAlignment="1">
      <alignment horizontal="right"/>
    </xf>
    <xf numFmtId="0" fontId="27" fillId="0" borderId="7" xfId="0" applyFont="1" applyBorder="1" applyAlignment="1">
      <alignment horizontal="left"/>
    </xf>
    <xf numFmtId="164" fontId="22" fillId="0" borderId="7" xfId="29" applyNumberFormat="1" applyFont="1" applyFill="1" applyBorder="1" applyAlignment="1">
      <alignment horizontal="right"/>
    </xf>
    <xf numFmtId="167" fontId="24" fillId="0" borderId="7" xfId="29" applyNumberFormat="1" applyFont="1" applyBorder="1" applyAlignment="1">
      <alignment horizontal="right"/>
    </xf>
    <xf numFmtId="164" fontId="24" fillId="0" borderId="7" xfId="29" applyNumberFormat="1" applyFont="1" applyBorder="1" applyAlignment="1">
      <alignment horizontal="right"/>
    </xf>
    <xf numFmtId="3" fontId="22" fillId="0" borderId="7" xfId="29" applyNumberFormat="1" applyFont="1" applyFill="1" applyBorder="1" applyAlignment="1">
      <alignment horizontal="center"/>
    </xf>
    <xf numFmtId="0" fontId="22" fillId="0" borderId="7" xfId="29" applyNumberFormat="1" applyFont="1" applyFill="1" applyBorder="1" applyAlignment="1">
      <alignment horizontal="left"/>
    </xf>
    <xf numFmtId="0" fontId="22" fillId="0" borderId="7" xfId="0" applyFont="1" applyBorder="1" applyAlignment="1">
      <alignment horizontal="left" indent="1"/>
    </xf>
    <xf numFmtId="0" fontId="22" fillId="0" borderId="7" xfId="0" applyFont="1" applyBorder="1" applyAlignment="1">
      <alignment horizontal="right"/>
    </xf>
    <xf numFmtId="165" fontId="22" fillId="0" borderId="7" xfId="29" applyNumberFormat="1" applyFont="1" applyBorder="1"/>
    <xf numFmtId="44" fontId="22" fillId="0" borderId="7" xfId="29" applyFont="1" applyBorder="1"/>
    <xf numFmtId="164" fontId="22" fillId="0" borderId="7" xfId="29" applyNumberFormat="1" applyFont="1" applyBorder="1"/>
    <xf numFmtId="0" fontId="22" fillId="0" borderId="7" xfId="29" applyNumberFormat="1" applyFont="1" applyFill="1" applyBorder="1" applyAlignment="1">
      <alignment horizontal="center"/>
    </xf>
    <xf numFmtId="167" fontId="22" fillId="0" borderId="7" xfId="29" applyNumberFormat="1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0" borderId="7" xfId="0" applyFont="1" applyBorder="1" applyAlignment="1">
      <alignment horizontal="left" indent="2"/>
    </xf>
    <xf numFmtId="0" fontId="21" fillId="0" borderId="7" xfId="0" applyFont="1" applyBorder="1" applyAlignment="1">
      <alignment horizontal="right"/>
    </xf>
    <xf numFmtId="0" fontId="27" fillId="0" borderId="7" xfId="0" applyFont="1" applyBorder="1" applyAlignment="1">
      <alignment horizontal="right"/>
    </xf>
    <xf numFmtId="0" fontId="27" fillId="0" borderId="7" xfId="0" applyFont="1" applyBorder="1" applyAlignment="1">
      <alignment horizontal="right" indent="1"/>
    </xf>
    <xf numFmtId="0" fontId="22" fillId="0" borderId="7" xfId="0" applyFont="1" applyBorder="1" applyAlignment="1">
      <alignment horizontal="center"/>
    </xf>
    <xf numFmtId="0" fontId="22" fillId="0" borderId="7" xfId="0" applyFont="1" applyBorder="1" applyAlignment="1">
      <alignment horizontal="left" wrapText="1" shrinkToFit="1"/>
    </xf>
    <xf numFmtId="164" fontId="24" fillId="0" borderId="7" xfId="29" applyNumberFormat="1" applyFont="1" applyFill="1" applyBorder="1" applyAlignment="1">
      <alignment horizontal="right"/>
    </xf>
    <xf numFmtId="9" fontId="22" fillId="24" borderId="7" xfId="43" applyNumberFormat="1" applyFont="1" applyFill="1" applyBorder="1" applyAlignment="1">
      <alignment horizontal="right"/>
    </xf>
    <xf numFmtId="0" fontId="22" fillId="0" borderId="7" xfId="0" applyFont="1" applyBorder="1" applyAlignment="1">
      <alignment horizontal="left" wrapText="1" indent="1" shrinkToFit="1"/>
    </xf>
    <xf numFmtId="166" fontId="22" fillId="24" borderId="7" xfId="43" applyNumberFormat="1" applyFont="1" applyFill="1" applyBorder="1" applyAlignment="1">
      <alignment horizontal="right"/>
    </xf>
    <xf numFmtId="0" fontId="22" fillId="0" borderId="7" xfId="0" applyFont="1" applyBorder="1"/>
    <xf numFmtId="0" fontId="24" fillId="0" borderId="7" xfId="0" applyFont="1" applyBorder="1"/>
    <xf numFmtId="164" fontId="22" fillId="0" borderId="7" xfId="29" applyNumberFormat="1" applyFont="1" applyBorder="1" applyAlignment="1">
      <alignment horizontal="right"/>
    </xf>
    <xf numFmtId="165" fontId="22" fillId="0" borderId="7" xfId="29" applyNumberFormat="1" applyFont="1" applyBorder="1" applyAlignment="1">
      <alignment horizontal="right"/>
    </xf>
    <xf numFmtId="165" fontId="22" fillId="0" borderId="7" xfId="29" applyNumberFormat="1" applyFont="1" applyBorder="1" applyAlignment="1">
      <alignment horizontal="center"/>
    </xf>
    <xf numFmtId="165" fontId="20" fillId="0" borderId="7" xfId="29" applyNumberFormat="1" applyFont="1" applyBorder="1" applyAlignment="1">
      <alignment horizontal="left"/>
    </xf>
    <xf numFmtId="167" fontId="20" fillId="0" borderId="7" xfId="29" applyNumberFormat="1" applyFont="1" applyBorder="1" applyAlignment="1">
      <alignment horizontal="right"/>
    </xf>
    <xf numFmtId="169" fontId="22" fillId="0" borderId="7" xfId="29" applyNumberFormat="1" applyFont="1" applyFill="1" applyBorder="1" applyAlignment="1">
      <alignment horizontal="center"/>
    </xf>
    <xf numFmtId="0" fontId="0" fillId="0" borderId="7" xfId="0" applyBorder="1"/>
    <xf numFmtId="0" fontId="0" fillId="0" borderId="7" xfId="0" applyFill="1" applyBorder="1"/>
    <xf numFmtId="0" fontId="20" fillId="0" borderId="7" xfId="0" applyFont="1" applyBorder="1" applyAlignment="1">
      <alignment horizontal="right"/>
    </xf>
    <xf numFmtId="0" fontId="20" fillId="0" borderId="7" xfId="0" applyFont="1" applyBorder="1" applyAlignment="1">
      <alignment horizontal="left"/>
    </xf>
    <xf numFmtId="44" fontId="24" fillId="0" borderId="7" xfId="29" applyFont="1" applyBorder="1"/>
    <xf numFmtId="164" fontId="22" fillId="24" borderId="7" xfId="29" applyNumberFormat="1" applyFont="1" applyFill="1" applyBorder="1" applyAlignment="1">
      <alignment horizontal="center"/>
    </xf>
    <xf numFmtId="0" fontId="25" fillId="0" borderId="7" xfId="0" applyFont="1" applyBorder="1" applyAlignment="1">
      <alignment horizontal="right"/>
    </xf>
    <xf numFmtId="3" fontId="22" fillId="0" borderId="10" xfId="29" applyNumberFormat="1" applyFont="1" applyFill="1" applyBorder="1" applyAlignment="1">
      <alignment horizontal="center"/>
    </xf>
    <xf numFmtId="0" fontId="22" fillId="0" borderId="10" xfId="29" applyNumberFormat="1" applyFont="1" applyFill="1" applyBorder="1" applyAlignment="1">
      <alignment horizontal="left"/>
    </xf>
    <xf numFmtId="165" fontId="20" fillId="0" borderId="7" xfId="29" applyNumberFormat="1" applyFont="1" applyBorder="1" applyAlignment="1">
      <alignment horizontal="right"/>
    </xf>
    <xf numFmtId="2" fontId="22" fillId="0" borderId="7" xfId="29" applyNumberFormat="1" applyFont="1" applyFill="1" applyBorder="1" applyAlignment="1">
      <alignment horizontal="center"/>
    </xf>
    <xf numFmtId="1" fontId="22" fillId="0" borderId="7" xfId="29" applyNumberFormat="1" applyFont="1" applyFill="1" applyBorder="1" applyAlignment="1">
      <alignment horizontal="center"/>
    </xf>
    <xf numFmtId="168" fontId="22" fillId="0" borderId="7" xfId="29" applyNumberFormat="1" applyFont="1" applyFill="1" applyBorder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1" fillId="0" borderId="0" xfId="0" applyFont="1" applyBorder="1"/>
    <xf numFmtId="170" fontId="22" fillId="0" borderId="7" xfId="29" applyNumberFormat="1" applyFont="1" applyFill="1" applyBorder="1" applyAlignment="1">
      <alignment horizontal="center"/>
    </xf>
    <xf numFmtId="0" fontId="22" fillId="24" borderId="10" xfId="29" applyNumberFormat="1" applyFont="1" applyFill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0" fontId="20" fillId="0" borderId="11" xfId="29" applyNumberFormat="1" applyFont="1" applyFill="1" applyBorder="1" applyAlignment="1">
      <alignment horizontal="left"/>
    </xf>
    <xf numFmtId="164" fontId="32" fillId="0" borderId="7" xfId="29" applyNumberFormat="1" applyFont="1" applyBorder="1" applyAlignment="1">
      <alignment horizontal="right"/>
    </xf>
    <xf numFmtId="9" fontId="33" fillId="0" borderId="7" xfId="43" applyFont="1" applyBorder="1" applyAlignment="1">
      <alignment horizontal="right"/>
    </xf>
    <xf numFmtId="164" fontId="31" fillId="0" borderId="7" xfId="29" applyNumberFormat="1" applyFont="1" applyFill="1" applyBorder="1" applyAlignment="1">
      <alignment horizontal="right"/>
    </xf>
    <xf numFmtId="164" fontId="33" fillId="0" borderId="7" xfId="29" applyNumberFormat="1" applyFont="1" applyBorder="1" applyAlignment="1">
      <alignment horizontal="right"/>
    </xf>
    <xf numFmtId="0" fontId="24" fillId="0" borderId="7" xfId="0" applyFont="1" applyBorder="1" applyAlignment="1">
      <alignment horizontal="left"/>
    </xf>
    <xf numFmtId="164" fontId="22" fillId="0" borderId="7" xfId="29" applyNumberFormat="1" applyFont="1" applyFill="1" applyBorder="1" applyAlignment="1">
      <alignment horizontal="center"/>
    </xf>
    <xf numFmtId="169" fontId="22" fillId="0" borderId="7" xfId="29" applyNumberFormat="1" applyFont="1" applyFill="1" applyBorder="1" applyAlignment="1">
      <alignment horizontal="right"/>
    </xf>
    <xf numFmtId="3" fontId="24" fillId="0" borderId="11" xfId="29" applyNumberFormat="1" applyFont="1" applyFill="1" applyBorder="1" applyAlignment="1">
      <alignment horizontal="center"/>
    </xf>
    <xf numFmtId="1" fontId="22" fillId="24" borderId="7" xfId="29" applyNumberFormat="1" applyFont="1" applyFill="1" applyBorder="1" applyAlignment="1">
      <alignment horizontal="center"/>
    </xf>
    <xf numFmtId="167" fontId="22" fillId="24" borderId="10" xfId="29" applyNumberFormat="1" applyFont="1" applyFill="1" applyBorder="1" applyAlignment="1">
      <alignment horizontal="center"/>
    </xf>
    <xf numFmtId="164" fontId="20" fillId="0" borderId="7" xfId="29" applyNumberFormat="1" applyFont="1" applyFill="1" applyBorder="1" applyAlignment="1">
      <alignment horizontal="right"/>
    </xf>
    <xf numFmtId="167" fontId="24" fillId="0" borderId="7" xfId="29" applyNumberFormat="1" applyFont="1" applyFill="1" applyBorder="1" applyAlignment="1">
      <alignment horizontal="right"/>
    </xf>
    <xf numFmtId="9" fontId="33" fillId="0" borderId="7" xfId="43" applyFont="1" applyFill="1" applyBorder="1" applyAlignment="1">
      <alignment horizontal="right"/>
    </xf>
    <xf numFmtId="0" fontId="22" fillId="24" borderId="7" xfId="29" applyNumberFormat="1" applyFont="1" applyFill="1" applyBorder="1" applyAlignment="1">
      <alignment horizontal="center"/>
    </xf>
    <xf numFmtId="2" fontId="22" fillId="24" borderId="7" xfId="29" applyNumberFormat="1" applyFont="1" applyFill="1" applyBorder="1" applyAlignment="1">
      <alignment horizontal="center"/>
    </xf>
    <xf numFmtId="0" fontId="20" fillId="24" borderId="7" xfId="0" applyFont="1" applyFill="1" applyBorder="1" applyAlignment="1">
      <alignment horizontal="left" indent="1"/>
    </xf>
    <xf numFmtId="164" fontId="22" fillId="24" borderId="7" xfId="29" applyNumberFormat="1" applyFont="1" applyFill="1" applyBorder="1" applyAlignment="1">
      <alignment horizontal="right"/>
    </xf>
    <xf numFmtId="164" fontId="20" fillId="0" borderId="15" xfId="29" applyNumberFormat="1" applyFont="1" applyBorder="1" applyAlignment="1">
      <alignment horizontal="right"/>
    </xf>
    <xf numFmtId="164" fontId="20" fillId="0" borderId="16" xfId="29" applyNumberFormat="1" applyFont="1" applyBorder="1" applyAlignment="1">
      <alignment horizontal="right"/>
    </xf>
    <xf numFmtId="167" fontId="23" fillId="0" borderId="16" xfId="29" applyNumberFormat="1" applyFont="1" applyBorder="1" applyAlignment="1">
      <alignment horizontal="right"/>
    </xf>
    <xf numFmtId="0" fontId="20" fillId="0" borderId="16" xfId="0" applyFont="1" applyBorder="1"/>
    <xf numFmtId="0" fontId="20" fillId="0" borderId="11" xfId="0" applyFont="1" applyBorder="1" applyAlignment="1">
      <alignment horizontal="left"/>
    </xf>
    <xf numFmtId="169" fontId="22" fillId="0" borderId="10" xfId="29" applyNumberFormat="1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165" fontId="31" fillId="0" borderId="0" xfId="29" applyNumberFormat="1" applyFont="1"/>
    <xf numFmtId="0" fontId="31" fillId="0" borderId="0" xfId="0" applyFont="1"/>
    <xf numFmtId="0" fontId="0" fillId="0" borderId="0" xfId="0" applyAlignment="1">
      <alignment horizontal="center"/>
    </xf>
    <xf numFmtId="0" fontId="32" fillId="0" borderId="0" xfId="0" applyFont="1"/>
    <xf numFmtId="0" fontId="31" fillId="0" borderId="0" xfId="0" applyFont="1" applyAlignment="1">
      <alignment horizontal="right"/>
    </xf>
    <xf numFmtId="171" fontId="31" fillId="0" borderId="0" xfId="28" applyNumberFormat="1" applyFont="1"/>
    <xf numFmtId="0" fontId="33" fillId="0" borderId="0" xfId="0" applyFont="1" applyAlignment="1">
      <alignment horizontal="right"/>
    </xf>
    <xf numFmtId="0" fontId="31" fillId="0" borderId="18" xfId="0" applyFont="1" applyBorder="1"/>
    <xf numFmtId="165" fontId="31" fillId="0" borderId="18" xfId="29" applyNumberFormat="1" applyFont="1" applyBorder="1" applyAlignment="1">
      <alignment horizontal="right"/>
    </xf>
    <xf numFmtId="0" fontId="31" fillId="0" borderId="18" xfId="0" applyFont="1" applyBorder="1" applyAlignment="1">
      <alignment horizontal="right"/>
    </xf>
    <xf numFmtId="171" fontId="31" fillId="0" borderId="0" xfId="28" applyNumberFormat="1" applyFont="1" applyBorder="1" applyAlignment="1">
      <alignment horizontal="right"/>
    </xf>
    <xf numFmtId="165" fontId="31" fillId="0" borderId="0" xfId="29" applyNumberFormat="1" applyFont="1" applyBorder="1" applyAlignment="1">
      <alignment horizontal="right"/>
    </xf>
    <xf numFmtId="165" fontId="31" fillId="0" borderId="0" xfId="29" applyNumberFormat="1" applyFont="1" applyAlignment="1">
      <alignment horizontal="right"/>
    </xf>
    <xf numFmtId="165" fontId="34" fillId="0" borderId="0" xfId="29" applyNumberFormat="1" applyFont="1" applyAlignment="1">
      <alignment horizontal="center"/>
    </xf>
    <xf numFmtId="165" fontId="34" fillId="0" borderId="0" xfId="29" applyNumberFormat="1" applyFont="1" applyAlignment="1">
      <alignment horizontal="right"/>
    </xf>
    <xf numFmtId="164" fontId="32" fillId="0" borderId="0" xfId="29" applyNumberFormat="1" applyFont="1"/>
    <xf numFmtId="167" fontId="32" fillId="0" borderId="0" xfId="29" applyNumberFormat="1" applyFont="1"/>
    <xf numFmtId="167" fontId="32" fillId="0" borderId="0" xfId="29" applyNumberFormat="1" applyFont="1" applyAlignment="1">
      <alignment horizontal="right"/>
    </xf>
    <xf numFmtId="164" fontId="32" fillId="0" borderId="0" xfId="29" applyNumberFormat="1" applyFont="1" applyAlignment="1">
      <alignment horizontal="center"/>
    </xf>
    <xf numFmtId="167" fontId="32" fillId="0" borderId="0" xfId="29" applyNumberFormat="1" applyFont="1" applyAlignment="1">
      <alignment horizontal="center"/>
    </xf>
    <xf numFmtId="167" fontId="31" fillId="0" borderId="0" xfId="29" applyNumberFormat="1" applyFont="1" applyAlignment="1">
      <alignment horizontal="right"/>
    </xf>
    <xf numFmtId="167" fontId="31" fillId="0" borderId="0" xfId="0" applyNumberFormat="1" applyFont="1" applyAlignment="1">
      <alignment horizontal="right"/>
    </xf>
    <xf numFmtId="164" fontId="31" fillId="0" borderId="0" xfId="29" applyNumberFormat="1" applyFont="1"/>
    <xf numFmtId="167" fontId="31" fillId="0" borderId="0" xfId="29" applyNumberFormat="1" applyFont="1"/>
    <xf numFmtId="0" fontId="31" fillId="0" borderId="0" xfId="0" applyFont="1" applyAlignment="1">
      <alignment horizontal="left" indent="1"/>
    </xf>
    <xf numFmtId="44" fontId="31" fillId="0" borderId="0" xfId="29" applyFont="1"/>
    <xf numFmtId="164" fontId="31" fillId="0" borderId="0" xfId="29" applyNumberFormat="1" applyFont="1" applyBorder="1"/>
    <xf numFmtId="167" fontId="31" fillId="0" borderId="0" xfId="29" applyNumberFormat="1" applyFont="1" applyBorder="1"/>
    <xf numFmtId="164" fontId="31" fillId="0" borderId="0" xfId="0" applyNumberFormat="1" applyFont="1" applyAlignment="1">
      <alignment horizontal="right"/>
    </xf>
    <xf numFmtId="164" fontId="31" fillId="0" borderId="0" xfId="29" applyNumberFormat="1" applyFont="1" applyAlignment="1">
      <alignment horizontal="right"/>
    </xf>
    <xf numFmtId="0" fontId="36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164" fontId="33" fillId="0" borderId="0" xfId="29" applyNumberFormat="1" applyFont="1" applyBorder="1" applyAlignment="1">
      <alignment horizontal="center"/>
    </xf>
    <xf numFmtId="164" fontId="32" fillId="0" borderId="0" xfId="29" applyNumberFormat="1" applyFont="1" applyBorder="1"/>
    <xf numFmtId="167" fontId="32" fillId="0" borderId="0" xfId="29" applyNumberFormat="1" applyFont="1" applyBorder="1"/>
    <xf numFmtId="167" fontId="32" fillId="0" borderId="0" xfId="29" applyNumberFormat="1" applyFont="1" applyBorder="1" applyAlignment="1">
      <alignment horizontal="right"/>
    </xf>
    <xf numFmtId="0" fontId="31" fillId="0" borderId="0" xfId="0" applyFont="1" applyAlignment="1">
      <alignment horizontal="left" indent="2"/>
    </xf>
    <xf numFmtId="167" fontId="31" fillId="0" borderId="0" xfId="29" applyNumberFormat="1" applyFont="1" applyBorder="1" applyAlignment="1">
      <alignment horizontal="right"/>
    </xf>
    <xf numFmtId="167" fontId="31" fillId="0" borderId="0" xfId="0" applyNumberFormat="1" applyFont="1" applyBorder="1" applyAlignment="1">
      <alignment horizontal="right"/>
    </xf>
    <xf numFmtId="167" fontId="32" fillId="0" borderId="0" xfId="0" applyNumberFormat="1" applyFont="1" applyBorder="1" applyAlignment="1">
      <alignment horizontal="right"/>
    </xf>
    <xf numFmtId="0" fontId="34" fillId="0" borderId="0" xfId="0" applyFont="1"/>
    <xf numFmtId="0" fontId="33" fillId="0" borderId="0" xfId="0" applyFont="1"/>
    <xf numFmtId="0" fontId="31" fillId="0" borderId="17" xfId="0" applyFont="1" applyBorder="1"/>
    <xf numFmtId="165" fontId="31" fillId="0" borderId="17" xfId="29" applyNumberFormat="1" applyFont="1" applyBorder="1"/>
    <xf numFmtId="165" fontId="31" fillId="0" borderId="17" xfId="29" applyNumberFormat="1" applyFont="1" applyBorder="1" applyAlignment="1">
      <alignment horizontal="right"/>
    </xf>
    <xf numFmtId="0" fontId="31" fillId="0" borderId="17" xfId="0" applyFont="1" applyBorder="1" applyAlignment="1">
      <alignment horizontal="right"/>
    </xf>
    <xf numFmtId="0" fontId="20" fillId="0" borderId="7" xfId="0" applyFont="1" applyFill="1" applyBorder="1" applyAlignment="1">
      <alignment horizontal="left"/>
    </xf>
    <xf numFmtId="44" fontId="33" fillId="0" borderId="0" xfId="29" applyFont="1"/>
    <xf numFmtId="3" fontId="31" fillId="0" borderId="0" xfId="29" applyNumberFormat="1" applyFont="1" applyBorder="1" applyAlignment="1">
      <alignment horizontal="center"/>
    </xf>
    <xf numFmtId="0" fontId="27" fillId="0" borderId="7" xfId="0" applyFont="1" applyBorder="1" applyAlignment="1"/>
    <xf numFmtId="0" fontId="21" fillId="0" borderId="7" xfId="0" applyFont="1" applyBorder="1" applyAlignment="1">
      <alignment horizontal="left"/>
    </xf>
    <xf numFmtId="0" fontId="22" fillId="0" borderId="7" xfId="29" applyNumberFormat="1" applyFont="1" applyFill="1" applyBorder="1" applyAlignment="1">
      <alignment horizontal="right"/>
    </xf>
    <xf numFmtId="0" fontId="25" fillId="0" borderId="7" xfId="0" applyFont="1" applyFill="1" applyBorder="1"/>
    <xf numFmtId="164" fontId="32" fillId="0" borderId="7" xfId="29" applyNumberFormat="1" applyFont="1" applyFill="1" applyBorder="1" applyAlignment="1">
      <alignment horizontal="right"/>
    </xf>
    <xf numFmtId="9" fontId="22" fillId="0" borderId="7" xfId="43" applyFont="1" applyFill="1" applyBorder="1" applyAlignment="1">
      <alignment horizontal="right"/>
    </xf>
    <xf numFmtId="0" fontId="22" fillId="0" borderId="7" xfId="0" applyFont="1" applyFill="1" applyBorder="1" applyAlignment="1">
      <alignment horizontal="left"/>
    </xf>
    <xf numFmtId="0" fontId="21" fillId="0" borderId="7" xfId="0" applyFont="1" applyFill="1" applyBorder="1"/>
    <xf numFmtId="0" fontId="21" fillId="0" borderId="7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center"/>
    </xf>
    <xf numFmtId="0" fontId="37" fillId="0" borderId="7" xfId="0" applyFont="1" applyBorder="1"/>
    <xf numFmtId="3" fontId="20" fillId="0" borderId="7" xfId="0" applyNumberFormat="1" applyFont="1" applyBorder="1" applyAlignment="1">
      <alignment horizontal="center"/>
    </xf>
    <xf numFmtId="0" fontId="20" fillId="0" borderId="7" xfId="29" applyNumberFormat="1" applyFont="1" applyFill="1" applyBorder="1" applyAlignment="1">
      <alignment horizontal="left"/>
    </xf>
    <xf numFmtId="0" fontId="2" fillId="0" borderId="7" xfId="0" applyFont="1" applyBorder="1"/>
    <xf numFmtId="44" fontId="20" fillId="0" borderId="7" xfId="29" applyFont="1" applyBorder="1"/>
    <xf numFmtId="167" fontId="22" fillId="0" borderId="7" xfId="29" applyNumberFormat="1" applyFont="1" applyFill="1" applyBorder="1" applyAlignment="1">
      <alignment horizontal="right"/>
    </xf>
    <xf numFmtId="2" fontId="22" fillId="25" borderId="11" xfId="0" applyNumberFormat="1" applyFont="1" applyFill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168" fontId="22" fillId="24" borderId="7" xfId="29" applyNumberFormat="1" applyFont="1" applyFill="1" applyBorder="1" applyAlignment="1">
      <alignment horizontal="center"/>
    </xf>
    <xf numFmtId="2" fontId="22" fillId="25" borderId="7" xfId="29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left" indent="1"/>
    </xf>
    <xf numFmtId="9" fontId="34" fillId="0" borderId="7" xfId="43" applyFont="1" applyBorder="1" applyAlignment="1">
      <alignment horizontal="right"/>
    </xf>
    <xf numFmtId="0" fontId="20" fillId="0" borderId="7" xfId="0" applyFont="1" applyBorder="1" applyAlignment="1">
      <alignment horizontal="left" wrapText="1" indent="1" shrinkToFit="1"/>
    </xf>
    <xf numFmtId="164" fontId="21" fillId="0" borderId="7" xfId="0" applyNumberFormat="1" applyFont="1" applyBorder="1"/>
    <xf numFmtId="3" fontId="22" fillId="24" borderId="7" xfId="29" applyNumberFormat="1" applyFont="1" applyFill="1" applyBorder="1" applyAlignment="1">
      <alignment horizontal="right"/>
    </xf>
    <xf numFmtId="172" fontId="22" fillId="24" borderId="7" xfId="29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left"/>
    </xf>
    <xf numFmtId="168" fontId="20" fillId="24" borderId="7" xfId="0" applyNumberFormat="1" applyFont="1" applyFill="1" applyBorder="1" applyAlignment="1">
      <alignment horizontal="right"/>
    </xf>
    <xf numFmtId="168" fontId="20" fillId="24" borderId="10" xfId="0" applyNumberFormat="1" applyFont="1" applyFill="1" applyBorder="1" applyAlignment="1">
      <alignment horizontal="right"/>
    </xf>
    <xf numFmtId="168" fontId="23" fillId="0" borderId="11" xfId="0" applyNumberFormat="1" applyFont="1" applyBorder="1"/>
    <xf numFmtId="0" fontId="23" fillId="0" borderId="1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67" fontId="24" fillId="0" borderId="11" xfId="29" applyNumberFormat="1" applyFont="1" applyFill="1" applyBorder="1" applyAlignment="1">
      <alignment horizontal="center"/>
    </xf>
    <xf numFmtId="5" fontId="31" fillId="0" borderId="0" xfId="29" applyNumberFormat="1" applyFont="1"/>
    <xf numFmtId="5" fontId="31" fillId="0" borderId="0" xfId="29" applyNumberFormat="1" applyFont="1" applyBorder="1" applyAlignment="1">
      <alignment horizontal="right"/>
    </xf>
    <xf numFmtId="164" fontId="32" fillId="0" borderId="0" xfId="29" applyNumberFormat="1" applyFont="1" applyAlignment="1">
      <alignment horizontal="right"/>
    </xf>
    <xf numFmtId="164" fontId="32" fillId="0" borderId="0" xfId="0" applyNumberFormat="1" applyFont="1" applyAlignment="1">
      <alignment horizontal="right"/>
    </xf>
    <xf numFmtId="0" fontId="22" fillId="0" borderId="7" xfId="0" applyFont="1" applyFill="1" applyBorder="1" applyAlignment="1">
      <alignment horizontal="left" indent="1"/>
    </xf>
    <xf numFmtId="2" fontId="20" fillId="0" borderId="11" xfId="29" applyNumberFormat="1" applyFont="1" applyFill="1" applyBorder="1" applyAlignment="1">
      <alignment horizontal="center"/>
    </xf>
    <xf numFmtId="0" fontId="22" fillId="24" borderId="10" xfId="29" applyNumberFormat="1" applyFont="1" applyFill="1" applyBorder="1" applyAlignment="1">
      <alignment horizontal="right"/>
    </xf>
    <xf numFmtId="169" fontId="24" fillId="0" borderId="7" xfId="29" applyNumberFormat="1" applyFont="1" applyFill="1" applyBorder="1" applyAlignment="1">
      <alignment horizontal="right"/>
    </xf>
    <xf numFmtId="44" fontId="20" fillId="25" borderId="7" xfId="29" applyFont="1" applyFill="1" applyBorder="1"/>
    <xf numFmtId="0" fontId="21" fillId="0" borderId="12" xfId="0" applyFont="1" applyFill="1" applyBorder="1"/>
    <xf numFmtId="0" fontId="27" fillId="0" borderId="7" xfId="0" applyFont="1" applyFill="1" applyBorder="1" applyAlignment="1">
      <alignment horizontal="center"/>
    </xf>
    <xf numFmtId="172" fontId="22" fillId="0" borderId="7" xfId="29" applyNumberFormat="1" applyFont="1" applyFill="1" applyBorder="1" applyAlignment="1">
      <alignment horizontal="center"/>
    </xf>
    <xf numFmtId="0" fontId="22" fillId="0" borderId="11" xfId="29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7" xfId="0" applyFont="1" applyFill="1" applyBorder="1" applyAlignment="1">
      <alignment horizontal="left" indent="1"/>
    </xf>
    <xf numFmtId="167" fontId="22" fillId="27" borderId="7" xfId="29" applyNumberFormat="1" applyFont="1" applyFill="1" applyBorder="1" applyAlignment="1">
      <alignment horizontal="center"/>
    </xf>
    <xf numFmtId="173" fontId="22" fillId="0" borderId="7" xfId="29" applyNumberFormat="1" applyFont="1" applyFill="1" applyBorder="1" applyAlignment="1">
      <alignment horizontal="center"/>
    </xf>
    <xf numFmtId="174" fontId="22" fillId="0" borderId="7" xfId="29" applyNumberFormat="1" applyFont="1" applyFill="1" applyBorder="1" applyAlignment="1">
      <alignment horizontal="center"/>
    </xf>
    <xf numFmtId="168" fontId="20" fillId="0" borderId="7" xfId="0" applyNumberFormat="1" applyFont="1" applyFill="1" applyBorder="1" applyAlignment="1">
      <alignment horizontal="right"/>
    </xf>
    <xf numFmtId="0" fontId="25" fillId="0" borderId="7" xfId="0" applyFont="1" applyBorder="1" applyAlignment="1">
      <alignment horizontal="center"/>
    </xf>
    <xf numFmtId="3" fontId="20" fillId="0" borderId="11" xfId="29" applyNumberFormat="1" applyFont="1" applyFill="1" applyBorder="1" applyAlignment="1">
      <alignment horizontal="center"/>
    </xf>
    <xf numFmtId="164" fontId="22" fillId="27" borderId="7" xfId="29" applyNumberFormat="1" applyFont="1" applyFill="1" applyBorder="1" applyAlignment="1">
      <alignment horizontal="right"/>
    </xf>
    <xf numFmtId="164" fontId="20" fillId="27" borderId="7" xfId="29" applyNumberFormat="1" applyFont="1" applyFill="1" applyBorder="1" applyAlignment="1">
      <alignment horizontal="right"/>
    </xf>
    <xf numFmtId="167" fontId="24" fillId="27" borderId="7" xfId="29" applyNumberFormat="1" applyFont="1" applyFill="1" applyBorder="1" applyAlignment="1">
      <alignment horizontal="right"/>
    </xf>
    <xf numFmtId="9" fontId="33" fillId="27" borderId="7" xfId="43" applyFont="1" applyFill="1" applyBorder="1" applyAlignment="1">
      <alignment horizontal="right"/>
    </xf>
    <xf numFmtId="3" fontId="22" fillId="27" borderId="7" xfId="29" applyNumberFormat="1" applyFont="1" applyFill="1" applyBorder="1" applyAlignment="1">
      <alignment horizontal="center"/>
    </xf>
    <xf numFmtId="0" fontId="22" fillId="27" borderId="7" xfId="29" applyNumberFormat="1" applyFont="1" applyFill="1" applyBorder="1" applyAlignment="1">
      <alignment horizontal="center"/>
    </xf>
    <xf numFmtId="167" fontId="22" fillId="27" borderId="7" xfId="29" applyNumberFormat="1" applyFont="1" applyFill="1" applyBorder="1" applyAlignment="1">
      <alignment horizontal="right"/>
    </xf>
    <xf numFmtId="0" fontId="22" fillId="27" borderId="7" xfId="0" applyFont="1" applyFill="1" applyBorder="1" applyAlignment="1">
      <alignment horizontal="right"/>
    </xf>
    <xf numFmtId="0" fontId="20" fillId="27" borderId="7" xfId="0" applyFont="1" applyFill="1" applyBorder="1" applyAlignment="1">
      <alignment horizontal="left" wrapText="1" shrinkToFit="1"/>
    </xf>
    <xf numFmtId="168" fontId="22" fillId="27" borderId="7" xfId="29" applyNumberFormat="1" applyFont="1" applyFill="1" applyBorder="1" applyAlignment="1">
      <alignment horizontal="center"/>
    </xf>
    <xf numFmtId="0" fontId="21" fillId="27" borderId="7" xfId="0" applyFont="1" applyFill="1" applyBorder="1"/>
    <xf numFmtId="0" fontId="23" fillId="0" borderId="7" xfId="0" applyFont="1" applyFill="1" applyBorder="1" applyAlignment="1">
      <alignment horizontal="left" wrapText="1" indent="1" shrinkToFit="1"/>
    </xf>
    <xf numFmtId="44" fontId="20" fillId="0" borderId="7" xfId="29" applyFont="1" applyFill="1" applyBorder="1"/>
    <xf numFmtId="0" fontId="20" fillId="25" borderId="7" xfId="0" applyFont="1" applyFill="1" applyBorder="1" applyAlignment="1">
      <alignment horizontal="left" wrapText="1" indent="1" shrinkToFit="1"/>
    </xf>
    <xf numFmtId="0" fontId="22" fillId="27" borderId="7" xfId="0" applyFont="1" applyFill="1" applyBorder="1" applyAlignment="1">
      <alignment horizontal="left"/>
    </xf>
    <xf numFmtId="170" fontId="22" fillId="27" borderId="7" xfId="29" applyNumberFormat="1" applyFont="1" applyFill="1" applyBorder="1" applyAlignment="1">
      <alignment horizontal="center"/>
    </xf>
    <xf numFmtId="1" fontId="22" fillId="25" borderId="7" xfId="29" applyNumberFormat="1" applyFont="1" applyFill="1" applyBorder="1" applyAlignment="1">
      <alignment horizontal="center"/>
    </xf>
    <xf numFmtId="3" fontId="23" fillId="0" borderId="11" xfId="0" applyNumberFormat="1" applyFont="1" applyBorder="1"/>
    <xf numFmtId="164" fontId="22" fillId="27" borderId="7" xfId="29" applyNumberFormat="1" applyFont="1" applyFill="1" applyBorder="1" applyAlignment="1">
      <alignment horizontal="center"/>
    </xf>
    <xf numFmtId="173" fontId="24" fillId="27" borderId="7" xfId="29" applyNumberFormat="1" applyFont="1" applyFill="1" applyBorder="1" applyAlignment="1">
      <alignment horizontal="right"/>
    </xf>
    <xf numFmtId="166" fontId="33" fillId="27" borderId="7" xfId="43" applyNumberFormat="1" applyFont="1" applyFill="1" applyBorder="1" applyAlignment="1">
      <alignment horizontal="right"/>
    </xf>
    <xf numFmtId="169" fontId="22" fillId="24" borderId="7" xfId="29" applyNumberFormat="1" applyFont="1" applyFill="1" applyBorder="1" applyAlignment="1">
      <alignment horizontal="center"/>
    </xf>
    <xf numFmtId="169" fontId="22" fillId="27" borderId="11" xfId="0" applyNumberFormat="1" applyFont="1" applyFill="1" applyBorder="1" applyAlignment="1">
      <alignment horizontal="center"/>
    </xf>
    <xf numFmtId="2" fontId="22" fillId="27" borderId="7" xfId="29" applyNumberFormat="1" applyFont="1" applyFill="1" applyBorder="1" applyAlignment="1">
      <alignment horizontal="center"/>
    </xf>
    <xf numFmtId="1" fontId="22" fillId="27" borderId="7" xfId="29" applyNumberFormat="1" applyFont="1" applyFill="1" applyBorder="1" applyAlignment="1">
      <alignment horizontal="center"/>
    </xf>
    <xf numFmtId="175" fontId="22" fillId="0" borderId="7" xfId="29" applyNumberFormat="1" applyFont="1" applyFill="1" applyBorder="1" applyAlignment="1">
      <alignment horizontal="center"/>
    </xf>
    <xf numFmtId="175" fontId="22" fillId="0" borderId="10" xfId="29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2" fillId="24" borderId="13" xfId="29" applyNumberFormat="1" applyFont="1" applyFill="1" applyBorder="1" applyAlignment="1">
      <alignment horizontal="center"/>
    </xf>
    <xf numFmtId="0" fontId="21" fillId="0" borderId="14" xfId="0" applyFont="1" applyBorder="1"/>
    <xf numFmtId="0" fontId="21" fillId="0" borderId="14" xfId="0" applyFont="1" applyFill="1" applyBorder="1"/>
    <xf numFmtId="0" fontId="25" fillId="0" borderId="19" xfId="0" applyFont="1" applyBorder="1" applyAlignment="1">
      <alignment horizontal="right"/>
    </xf>
    <xf numFmtId="0" fontId="25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3" fontId="22" fillId="0" borderId="23" xfId="29" applyNumberFormat="1" applyFont="1" applyFill="1" applyBorder="1" applyAlignment="1">
      <alignment horizontal="center"/>
    </xf>
    <xf numFmtId="0" fontId="20" fillId="0" borderId="24" xfId="0" applyFont="1" applyBorder="1" applyAlignment="1">
      <alignment horizontal="right"/>
    </xf>
    <xf numFmtId="3" fontId="22" fillId="0" borderId="25" xfId="29" applyNumberFormat="1" applyFont="1" applyFill="1" applyBorder="1" applyAlignment="1">
      <alignment horizontal="center"/>
    </xf>
    <xf numFmtId="0" fontId="23" fillId="0" borderId="26" xfId="0" applyFont="1" applyBorder="1" applyAlignment="1">
      <alignment horizontal="right"/>
    </xf>
    <xf numFmtId="9" fontId="23" fillId="0" borderId="27" xfId="29" applyNumberFormat="1" applyFont="1" applyFill="1" applyBorder="1" applyAlignment="1">
      <alignment horizontal="center"/>
    </xf>
    <xf numFmtId="175" fontId="22" fillId="0" borderId="27" xfId="29" applyNumberFormat="1" applyFont="1" applyFill="1" applyBorder="1" applyAlignment="1">
      <alignment horizontal="center"/>
    </xf>
    <xf numFmtId="3" fontId="22" fillId="0" borderId="28" xfId="29" applyNumberFormat="1" applyFont="1" applyFill="1" applyBorder="1" applyAlignment="1">
      <alignment horizontal="center"/>
    </xf>
    <xf numFmtId="10" fontId="33" fillId="27" borderId="7" xfId="43" applyNumberFormat="1" applyFont="1" applyFill="1" applyBorder="1" applyAlignment="1">
      <alignment horizontal="right"/>
    </xf>
    <xf numFmtId="9" fontId="33" fillId="0" borderId="7" xfId="43" applyNumberFormat="1" applyFont="1" applyFill="1" applyBorder="1" applyAlignment="1">
      <alignment horizontal="right"/>
    </xf>
    <xf numFmtId="176" fontId="22" fillId="0" borderId="7" xfId="29" applyNumberFormat="1" applyFont="1" applyFill="1" applyBorder="1" applyAlignment="1">
      <alignment horizontal="center"/>
    </xf>
    <xf numFmtId="178" fontId="33" fillId="27" borderId="7" xfId="43" applyNumberFormat="1" applyFont="1" applyFill="1" applyBorder="1" applyAlignment="1">
      <alignment horizontal="right"/>
    </xf>
    <xf numFmtId="0" fontId="20" fillId="25" borderId="7" xfId="0" applyFont="1" applyFill="1" applyBorder="1" applyAlignment="1">
      <alignment horizontal="left" indent="1"/>
    </xf>
    <xf numFmtId="0" fontId="20" fillId="0" borderId="26" xfId="0" applyFont="1" applyBorder="1" applyAlignment="1">
      <alignment horizontal="right"/>
    </xf>
    <xf numFmtId="0" fontId="21" fillId="0" borderId="11" xfId="0" applyFont="1" applyFill="1" applyBorder="1"/>
    <xf numFmtId="0" fontId="25" fillId="0" borderId="29" xfId="0" applyFont="1" applyBorder="1" applyAlignment="1">
      <alignment horizontal="center"/>
    </xf>
    <xf numFmtId="43" fontId="31" fillId="0" borderId="0" xfId="28" applyNumberFormat="1" applyFont="1"/>
    <xf numFmtId="0" fontId="21" fillId="0" borderId="11" xfId="0" applyFont="1" applyBorder="1" applyAlignment="1">
      <alignment horizontal="left"/>
    </xf>
    <xf numFmtId="177" fontId="22" fillId="27" borderId="7" xfId="29" applyNumberFormat="1" applyFont="1" applyFill="1" applyBorder="1" applyAlignment="1">
      <alignment horizontal="center"/>
    </xf>
    <xf numFmtId="0" fontId="23" fillId="0" borderId="31" xfId="0" applyFont="1" applyBorder="1" applyAlignment="1">
      <alignment horizontal="right"/>
    </xf>
    <xf numFmtId="9" fontId="23" fillId="0" borderId="32" xfId="29" applyNumberFormat="1" applyFont="1" applyFill="1" applyBorder="1" applyAlignment="1">
      <alignment horizontal="center"/>
    </xf>
    <xf numFmtId="175" fontId="22" fillId="0" borderId="14" xfId="29" applyNumberFormat="1" applyFont="1" applyFill="1" applyBorder="1" applyAlignment="1">
      <alignment horizontal="center"/>
    </xf>
    <xf numFmtId="3" fontId="22" fillId="0" borderId="33" xfId="29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3" xfId="29" applyNumberFormat="1" applyFont="1" applyFill="1" applyBorder="1" applyAlignment="1">
      <alignment horizontal="center"/>
    </xf>
    <xf numFmtId="0" fontId="21" fillId="0" borderId="34" xfId="0" applyFont="1" applyBorder="1"/>
    <xf numFmtId="0" fontId="21" fillId="0" borderId="36" xfId="0" applyFont="1" applyBorder="1"/>
    <xf numFmtId="0" fontId="21" fillId="0" borderId="27" xfId="0" applyFont="1" applyBorder="1"/>
    <xf numFmtId="0" fontId="21" fillId="0" borderId="27" xfId="0" applyFont="1" applyBorder="1" applyAlignment="1">
      <alignment horizontal="left"/>
    </xf>
    <xf numFmtId="0" fontId="20" fillId="0" borderId="37" xfId="0" applyFont="1" applyBorder="1" applyAlignment="1">
      <alignment horizontal="right"/>
    </xf>
    <xf numFmtId="3" fontId="22" fillId="0" borderId="13" xfId="29" applyNumberFormat="1" applyFont="1" applyFill="1" applyBorder="1" applyAlignment="1">
      <alignment horizontal="center"/>
    </xf>
    <xf numFmtId="0" fontId="21" fillId="0" borderId="38" xfId="0" applyFont="1" applyBorder="1"/>
    <xf numFmtId="0" fontId="21" fillId="0" borderId="39" xfId="0" applyFont="1" applyBorder="1"/>
    <xf numFmtId="0" fontId="20" fillId="0" borderId="27" xfId="0" applyFont="1" applyBorder="1" applyAlignment="1">
      <alignment horizontal="right"/>
    </xf>
    <xf numFmtId="0" fontId="20" fillId="24" borderId="28" xfId="29" applyNumberFormat="1" applyFont="1" applyFill="1" applyBorder="1" applyAlignment="1">
      <alignment horizontal="center"/>
    </xf>
    <xf numFmtId="0" fontId="21" fillId="0" borderId="13" xfId="0" applyFont="1" applyBorder="1"/>
    <xf numFmtId="0" fontId="20" fillId="0" borderId="12" xfId="0" applyFont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24" borderId="11" xfId="29" applyNumberFormat="1" applyFont="1" applyFill="1" applyBorder="1" applyAlignment="1">
      <alignment horizontal="right"/>
    </xf>
    <xf numFmtId="166" fontId="20" fillId="24" borderId="7" xfId="29" applyNumberFormat="1" applyFont="1" applyFill="1" applyBorder="1" applyAlignment="1">
      <alignment horizontal="center"/>
    </xf>
    <xf numFmtId="166" fontId="20" fillId="24" borderId="10" xfId="29" applyNumberFormat="1" applyFont="1" applyFill="1" applyBorder="1" applyAlignment="1">
      <alignment horizontal="center"/>
    </xf>
    <xf numFmtId="3" fontId="21" fillId="0" borderId="7" xfId="0" applyNumberFormat="1" applyFont="1" applyFill="1" applyBorder="1"/>
    <xf numFmtId="173" fontId="31" fillId="0" borderId="0" xfId="29" applyNumberFormat="1" applyFont="1" applyAlignment="1">
      <alignment horizontal="right"/>
    </xf>
    <xf numFmtId="164" fontId="32" fillId="0" borderId="13" xfId="29" applyNumberFormat="1" applyFont="1" applyBorder="1" applyAlignment="1">
      <alignment horizontal="right"/>
    </xf>
    <xf numFmtId="164" fontId="32" fillId="0" borderId="15" xfId="29" applyNumberFormat="1" applyFont="1" applyBorder="1" applyAlignment="1">
      <alignment horizontal="right"/>
    </xf>
    <xf numFmtId="0" fontId="21" fillId="0" borderId="40" xfId="0" applyFont="1" applyBorder="1"/>
    <xf numFmtId="164" fontId="22" fillId="0" borderId="41" xfId="29" applyNumberFormat="1" applyFont="1" applyFill="1" applyBorder="1" applyAlignment="1">
      <alignment horizontal="right"/>
    </xf>
    <xf numFmtId="0" fontId="21" fillId="0" borderId="42" xfId="0" applyFont="1" applyBorder="1"/>
    <xf numFmtId="0" fontId="22" fillId="0" borderId="10" xfId="0" applyFont="1" applyBorder="1" applyAlignment="1">
      <alignment horizontal="right"/>
    </xf>
    <xf numFmtId="164" fontId="22" fillId="0" borderId="43" xfId="29" applyNumberFormat="1" applyFont="1" applyFill="1" applyBorder="1" applyAlignment="1">
      <alignment horizontal="right"/>
    </xf>
    <xf numFmtId="0" fontId="21" fillId="0" borderId="44" xfId="0" applyFont="1" applyBorder="1"/>
    <xf numFmtId="0" fontId="22" fillId="0" borderId="11" xfId="0" applyFont="1" applyBorder="1" applyAlignment="1">
      <alignment horizontal="right"/>
    </xf>
    <xf numFmtId="164" fontId="22" fillId="0" borderId="45" xfId="29" applyNumberFormat="1" applyFont="1" applyFill="1" applyBorder="1" applyAlignment="1">
      <alignment horizontal="right"/>
    </xf>
    <xf numFmtId="0" fontId="21" fillId="0" borderId="46" xfId="0" applyFont="1" applyBorder="1"/>
    <xf numFmtId="0" fontId="22" fillId="0" borderId="47" xfId="0" applyFont="1" applyBorder="1" applyAlignment="1">
      <alignment horizontal="right"/>
    </xf>
    <xf numFmtId="0" fontId="20" fillId="0" borderId="48" xfId="0" applyFont="1" applyBorder="1" applyAlignment="1">
      <alignment horizontal="right"/>
    </xf>
    <xf numFmtId="3" fontId="24" fillId="0" borderId="7" xfId="0" applyNumberFormat="1" applyFont="1" applyBorder="1" applyAlignment="1">
      <alignment horizontal="right"/>
    </xf>
    <xf numFmtId="43" fontId="0" fillId="0" borderId="0" xfId="0" applyNumberFormat="1"/>
    <xf numFmtId="170" fontId="31" fillId="0" borderId="0" xfId="29" applyNumberFormat="1" applyFont="1" applyBorder="1" applyAlignment="1">
      <alignment horizontal="center"/>
    </xf>
    <xf numFmtId="170" fontId="33" fillId="0" borderId="0" xfId="0" applyNumberFormat="1" applyFont="1" applyAlignment="1">
      <alignment horizontal="center"/>
    </xf>
    <xf numFmtId="164" fontId="20" fillId="0" borderId="48" xfId="29" applyNumberFormat="1" applyFont="1" applyFill="1" applyBorder="1" applyAlignment="1">
      <alignment horizontal="right"/>
    </xf>
    <xf numFmtId="0" fontId="20" fillId="0" borderId="47" xfId="0" applyFont="1" applyBorder="1" applyAlignment="1">
      <alignment horizontal="right"/>
    </xf>
    <xf numFmtId="0" fontId="42" fillId="0" borderId="0" xfId="39" applyFont="1" applyAlignment="1">
      <alignment horizontal="left" vertical="center"/>
    </xf>
    <xf numFmtId="0" fontId="42" fillId="0" borderId="0" xfId="39" applyFont="1"/>
    <xf numFmtId="0" fontId="42" fillId="0" borderId="0" xfId="39" applyFont="1" applyAlignment="1">
      <alignment vertical="center" shrinkToFit="1"/>
    </xf>
    <xf numFmtId="0" fontId="42" fillId="0" borderId="0" xfId="39" applyFont="1" applyAlignment="1">
      <alignment vertical="center"/>
    </xf>
    <xf numFmtId="0" fontId="43" fillId="0" borderId="0" xfId="39" applyFont="1" applyAlignment="1">
      <alignment vertical="center" shrinkToFit="1"/>
    </xf>
    <xf numFmtId="0" fontId="42" fillId="0" borderId="0" xfId="39" applyFont="1" applyAlignment="1">
      <alignment vertical="center" wrapText="1"/>
    </xf>
    <xf numFmtId="0" fontId="42" fillId="0" borderId="0" xfId="39" applyNumberFormat="1" applyFont="1"/>
    <xf numFmtId="0" fontId="42" fillId="0" borderId="0" xfId="39" applyFont="1" applyBorder="1" applyAlignment="1">
      <alignment horizontal="center" vertical="center"/>
    </xf>
    <xf numFmtId="0" fontId="41" fillId="0" borderId="0" xfId="39" applyFont="1" applyFill="1" applyBorder="1" applyAlignment="1">
      <alignment horizontal="center" vertical="center"/>
    </xf>
    <xf numFmtId="0" fontId="40" fillId="0" borderId="0" xfId="39" applyFont="1" applyBorder="1"/>
    <xf numFmtId="0" fontId="42" fillId="0" borderId="0" xfId="39" applyFont="1" applyBorder="1" applyAlignment="1">
      <alignment vertical="center"/>
    </xf>
    <xf numFmtId="0" fontId="40" fillId="0" borderId="0" xfId="39" applyFont="1"/>
    <xf numFmtId="0" fontId="46" fillId="0" borderId="0" xfId="39" applyFont="1" applyAlignment="1">
      <alignment horizontal="left" vertical="center"/>
    </xf>
    <xf numFmtId="3" fontId="42" fillId="0" borderId="57" xfId="39" applyNumberFormat="1" applyFont="1" applyFill="1" applyBorder="1" applyAlignment="1">
      <alignment vertical="center"/>
    </xf>
    <xf numFmtId="9" fontId="33" fillId="27" borderId="7" xfId="43" applyNumberFormat="1" applyFont="1" applyFill="1" applyBorder="1" applyAlignment="1">
      <alignment horizontal="right"/>
    </xf>
    <xf numFmtId="0" fontId="22" fillId="25" borderId="7" xfId="29" applyNumberFormat="1" applyFont="1" applyFill="1" applyBorder="1" applyAlignment="1">
      <alignment horizontal="center"/>
    </xf>
    <xf numFmtId="167" fontId="24" fillId="0" borderId="7" xfId="29" applyNumberFormat="1" applyFont="1" applyBorder="1" applyAlignment="1">
      <alignment horizontal="center"/>
    </xf>
    <xf numFmtId="167" fontId="24" fillId="27" borderId="7" xfId="29" applyNumberFormat="1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0" fontId="22" fillId="0" borderId="59" xfId="0" applyFont="1" applyBorder="1" applyAlignment="1">
      <alignment horizontal="left"/>
    </xf>
    <xf numFmtId="0" fontId="21" fillId="0" borderId="60" xfId="0" applyFont="1" applyFill="1" applyBorder="1"/>
    <xf numFmtId="0" fontId="21" fillId="0" borderId="59" xfId="0" applyFont="1" applyFill="1" applyBorder="1"/>
    <xf numFmtId="0" fontId="22" fillId="0" borderId="59" xfId="29" applyNumberFormat="1" applyFont="1" applyFill="1" applyBorder="1" applyAlignment="1">
      <alignment horizontal="center"/>
    </xf>
    <xf numFmtId="167" fontId="22" fillId="0" borderId="59" xfId="29" applyNumberFormat="1" applyFont="1" applyFill="1" applyBorder="1" applyAlignment="1">
      <alignment horizontal="center"/>
    </xf>
    <xf numFmtId="174" fontId="22" fillId="0" borderId="59" xfId="29" applyNumberFormat="1" applyFont="1" applyFill="1" applyBorder="1" applyAlignment="1">
      <alignment horizontal="center"/>
    </xf>
    <xf numFmtId="2" fontId="22" fillId="0" borderId="59" xfId="29" applyNumberFormat="1" applyFont="1" applyFill="1" applyBorder="1" applyAlignment="1">
      <alignment horizontal="center"/>
    </xf>
    <xf numFmtId="1" fontId="22" fillId="0" borderId="59" xfId="29" applyNumberFormat="1" applyFont="1" applyFill="1" applyBorder="1" applyAlignment="1">
      <alignment horizontal="center"/>
    </xf>
    <xf numFmtId="168" fontId="22" fillId="0" borderId="59" xfId="29" applyNumberFormat="1" applyFont="1" applyFill="1" applyBorder="1" applyAlignment="1">
      <alignment horizontal="center"/>
    </xf>
    <xf numFmtId="164" fontId="22" fillId="0" borderId="59" xfId="29" applyNumberFormat="1" applyFont="1" applyFill="1" applyBorder="1" applyAlignment="1">
      <alignment horizontal="center"/>
    </xf>
    <xf numFmtId="0" fontId="42" fillId="0" borderId="0" xfId="39" applyFont="1" applyAlignment="1">
      <alignment horizontal="center"/>
    </xf>
    <xf numFmtId="0" fontId="42" fillId="26" borderId="57" xfId="39" applyFont="1" applyFill="1" applyBorder="1" applyAlignment="1">
      <alignment vertical="center"/>
    </xf>
    <xf numFmtId="167" fontId="42" fillId="27" borderId="57" xfId="39" applyNumberFormat="1" applyFont="1" applyFill="1" applyBorder="1" applyAlignment="1">
      <alignment horizontal="right" vertical="center"/>
    </xf>
    <xf numFmtId="167" fontId="42" fillId="26" borderId="57" xfId="39" applyNumberFormat="1" applyFont="1" applyFill="1" applyBorder="1" applyAlignment="1">
      <alignment horizontal="right" vertical="center"/>
    </xf>
    <xf numFmtId="167" fontId="42" fillId="25" borderId="57" xfId="39" applyNumberFormat="1" applyFont="1" applyFill="1" applyBorder="1" applyAlignment="1">
      <alignment horizontal="right" vertical="center"/>
    </xf>
    <xf numFmtId="3" fontId="42" fillId="32" borderId="57" xfId="39" applyNumberFormat="1" applyFont="1" applyFill="1" applyBorder="1" applyAlignment="1">
      <alignment vertical="center"/>
    </xf>
    <xf numFmtId="3" fontId="42" fillId="27" borderId="57" xfId="39" applyNumberFormat="1" applyFont="1" applyFill="1" applyBorder="1" applyAlignment="1">
      <alignment horizontal="right" vertical="center"/>
    </xf>
    <xf numFmtId="3" fontId="42" fillId="0" borderId="0" xfId="39" applyNumberFormat="1" applyFont="1" applyAlignment="1">
      <alignment vertical="center"/>
    </xf>
    <xf numFmtId="167" fontId="42" fillId="32" borderId="57" xfId="39" applyNumberFormat="1" applyFont="1" applyFill="1" applyBorder="1" applyAlignment="1">
      <alignment horizontal="right" vertical="center"/>
    </xf>
    <xf numFmtId="0" fontId="42" fillId="28" borderId="49" xfId="39" applyFont="1" applyFill="1" applyBorder="1" applyAlignment="1">
      <alignment vertical="center" wrapText="1"/>
    </xf>
    <xf numFmtId="0" fontId="42" fillId="25" borderId="57" xfId="39" applyFont="1" applyFill="1" applyBorder="1" applyAlignment="1">
      <alignment horizontal="right" vertical="center"/>
    </xf>
    <xf numFmtId="3" fontId="42" fillId="25" borderId="57" xfId="39" applyNumberFormat="1" applyFont="1" applyFill="1" applyBorder="1" applyAlignment="1">
      <alignment vertical="center"/>
    </xf>
    <xf numFmtId="0" fontId="42" fillId="29" borderId="57" xfId="39" applyFont="1" applyFill="1" applyBorder="1" applyAlignment="1">
      <alignment horizontal="right" vertical="center"/>
    </xf>
    <xf numFmtId="3" fontId="42" fillId="29" borderId="57" xfId="39" applyNumberFormat="1" applyFont="1" applyFill="1" applyBorder="1" applyAlignment="1">
      <alignment vertical="center"/>
    </xf>
    <xf numFmtId="3" fontId="42" fillId="26" borderId="57" xfId="39" applyNumberFormat="1" applyFont="1" applyFill="1" applyBorder="1" applyAlignment="1">
      <alignment vertical="center"/>
    </xf>
    <xf numFmtId="3" fontId="42" fillId="32" borderId="57" xfId="39" applyNumberFormat="1" applyFont="1" applyFill="1" applyBorder="1" applyAlignment="1">
      <alignment horizontal="right" vertical="center"/>
    </xf>
    <xf numFmtId="0" fontId="42" fillId="0" borderId="34" xfId="39" applyFont="1" applyBorder="1" applyAlignment="1">
      <alignment horizontal="center" vertical="center"/>
    </xf>
    <xf numFmtId="0" fontId="42" fillId="0" borderId="34" xfId="39" applyFont="1" applyBorder="1" applyAlignment="1">
      <alignment vertical="center"/>
    </xf>
    <xf numFmtId="0" fontId="42" fillId="0" borderId="35" xfId="39" applyFont="1" applyBorder="1" applyAlignment="1">
      <alignment vertical="center"/>
    </xf>
    <xf numFmtId="0" fontId="42" fillId="0" borderId="34" xfId="39" applyFont="1" applyBorder="1" applyAlignment="1">
      <alignment horizontal="center" vertical="center" wrapText="1"/>
    </xf>
    <xf numFmtId="0" fontId="42" fillId="0" borderId="0" xfId="39" applyFont="1" applyBorder="1" applyAlignment="1">
      <alignment horizontal="center" vertical="center" wrapText="1"/>
    </xf>
    <xf numFmtId="0" fontId="42" fillId="33" borderId="0" xfId="39" applyFont="1" applyFill="1" applyBorder="1" applyAlignment="1">
      <alignment horizontal="center" vertical="center"/>
    </xf>
    <xf numFmtId="9" fontId="48" fillId="0" borderId="0" xfId="39" applyNumberFormat="1" applyFont="1" applyFill="1" applyBorder="1" applyAlignment="1">
      <alignment horizontal="center" vertical="center"/>
    </xf>
    <xf numFmtId="167" fontId="42" fillId="26" borderId="66" xfId="39" applyNumberFormat="1" applyFont="1" applyFill="1" applyBorder="1" applyAlignment="1">
      <alignment horizontal="right" vertical="center"/>
    </xf>
    <xf numFmtId="167" fontId="42" fillId="25" borderId="66" xfId="39" applyNumberFormat="1" applyFont="1" applyFill="1" applyBorder="1" applyAlignment="1">
      <alignment horizontal="right" vertical="center"/>
    </xf>
    <xf numFmtId="167" fontId="42" fillId="27" borderId="66" xfId="39" applyNumberFormat="1" applyFont="1" applyFill="1" applyBorder="1" applyAlignment="1">
      <alignment horizontal="right" vertical="center"/>
    </xf>
    <xf numFmtId="167" fontId="42" fillId="32" borderId="66" xfId="39" applyNumberFormat="1" applyFont="1" applyFill="1" applyBorder="1" applyAlignment="1">
      <alignment horizontal="right" vertical="center"/>
    </xf>
    <xf numFmtId="0" fontId="42" fillId="29" borderId="67" xfId="39" applyFont="1" applyFill="1" applyBorder="1" applyAlignment="1">
      <alignment horizontal="right" vertical="center"/>
    </xf>
    <xf numFmtId="3" fontId="42" fillId="0" borderId="67" xfId="39" applyNumberFormat="1" applyFont="1" applyFill="1" applyBorder="1" applyAlignment="1">
      <alignment vertical="center"/>
    </xf>
    <xf numFmtId="0" fontId="46" fillId="0" borderId="64" xfId="39" applyFont="1" applyBorder="1" applyAlignment="1">
      <alignment horizontal="right" vertical="center" wrapText="1"/>
    </xf>
    <xf numFmtId="0" fontId="46" fillId="0" borderId="65" xfId="39" applyFont="1" applyBorder="1" applyAlignment="1">
      <alignment horizontal="right" vertical="center" wrapText="1"/>
    </xf>
    <xf numFmtId="9" fontId="48" fillId="25" borderId="0" xfId="39" applyNumberFormat="1" applyFont="1" applyFill="1" applyBorder="1" applyAlignment="1">
      <alignment vertical="center"/>
    </xf>
    <xf numFmtId="3" fontId="48" fillId="25" borderId="0" xfId="39" applyNumberFormat="1" applyFont="1" applyFill="1" applyBorder="1" applyAlignment="1">
      <alignment vertical="center"/>
    </xf>
    <xf numFmtId="3" fontId="48" fillId="0" borderId="0" xfId="39" applyNumberFormat="1" applyFont="1" applyFill="1" applyBorder="1" applyAlignment="1">
      <alignment vertical="center"/>
    </xf>
    <xf numFmtId="3" fontId="48" fillId="0" borderId="35" xfId="39" applyNumberFormat="1" applyFont="1" applyFill="1" applyBorder="1" applyAlignment="1">
      <alignment vertical="center"/>
    </xf>
    <xf numFmtId="0" fontId="42" fillId="0" borderId="38" xfId="39" applyFont="1" applyBorder="1" applyAlignment="1">
      <alignment vertical="center" shrinkToFit="1"/>
    </xf>
    <xf numFmtId="0" fontId="42" fillId="0" borderId="39" xfId="39" applyFont="1" applyBorder="1" applyAlignment="1">
      <alignment vertical="center" shrinkToFit="1"/>
    </xf>
    <xf numFmtId="0" fontId="42" fillId="0" borderId="39" xfId="39" applyFont="1" applyBorder="1" applyAlignment="1">
      <alignment vertical="center"/>
    </xf>
    <xf numFmtId="0" fontId="42" fillId="0" borderId="61" xfId="39" applyFont="1" applyBorder="1" applyAlignment="1">
      <alignment vertical="center"/>
    </xf>
    <xf numFmtId="0" fontId="42" fillId="25" borderId="50" xfId="39" applyFont="1" applyFill="1" applyBorder="1" applyAlignment="1">
      <alignment horizontal="right" vertical="center"/>
    </xf>
    <xf numFmtId="0" fontId="42" fillId="29" borderId="50" xfId="39" applyFont="1" applyFill="1" applyBorder="1" applyAlignment="1">
      <alignment horizontal="right" vertical="center"/>
    </xf>
    <xf numFmtId="0" fontId="42" fillId="32" borderId="50" xfId="39" applyFont="1" applyFill="1" applyBorder="1" applyAlignment="1">
      <alignment horizontal="right" vertical="center"/>
    </xf>
    <xf numFmtId="167" fontId="42" fillId="32" borderId="50" xfId="39" applyNumberFormat="1" applyFont="1" applyFill="1" applyBorder="1" applyAlignment="1">
      <alignment horizontal="right" vertical="center"/>
    </xf>
    <xf numFmtId="0" fontId="42" fillId="0" borderId="34" xfId="39" applyFont="1" applyBorder="1" applyAlignment="1">
      <alignment vertical="center" shrinkToFit="1"/>
    </xf>
    <xf numFmtId="0" fontId="42" fillId="0" borderId="0" xfId="39" applyFont="1" applyBorder="1" applyAlignment="1">
      <alignment vertical="center" shrinkToFit="1"/>
    </xf>
    <xf numFmtId="0" fontId="42" fillId="0" borderId="56" xfId="39" applyFont="1" applyBorder="1" applyAlignment="1">
      <alignment horizontal="center" vertical="center"/>
    </xf>
    <xf numFmtId="0" fontId="42" fillId="0" borderId="56" xfId="39" applyFont="1" applyBorder="1" applyAlignment="1">
      <alignment vertical="center"/>
    </xf>
    <xf numFmtId="0" fontId="42" fillId="0" borderId="56" xfId="39" applyFont="1" applyBorder="1" applyAlignment="1">
      <alignment horizontal="center" vertical="center" wrapText="1"/>
    </xf>
    <xf numFmtId="3" fontId="42" fillId="0" borderId="68" xfId="39" applyNumberFormat="1" applyFont="1" applyFill="1" applyBorder="1" applyAlignment="1">
      <alignment vertical="center"/>
    </xf>
    <xf numFmtId="167" fontId="42" fillId="26" borderId="69" xfId="39" applyNumberFormat="1" applyFont="1" applyFill="1" applyBorder="1" applyAlignment="1">
      <alignment horizontal="right" vertical="center"/>
    </xf>
    <xf numFmtId="0" fontId="42" fillId="28" borderId="53" xfId="39" applyFont="1" applyFill="1" applyBorder="1" applyAlignment="1">
      <alignment horizontal="right" vertical="center" wrapText="1"/>
    </xf>
    <xf numFmtId="0" fontId="42" fillId="28" borderId="54" xfId="39" applyFont="1" applyFill="1" applyBorder="1" applyAlignment="1">
      <alignment horizontal="right" vertical="center" wrapText="1"/>
    </xf>
    <xf numFmtId="0" fontId="50" fillId="0" borderId="0" xfId="39" applyFont="1" applyBorder="1" applyAlignment="1">
      <alignment horizontal="right" vertical="center"/>
    </xf>
    <xf numFmtId="0" fontId="50" fillId="0" borderId="0" xfId="39" applyFont="1" applyBorder="1" applyAlignment="1">
      <alignment horizontal="left" vertical="center"/>
    </xf>
    <xf numFmtId="0" fontId="43" fillId="0" borderId="63" xfId="39" applyFont="1" applyBorder="1" applyAlignment="1">
      <alignment horizontal="center" vertical="center" shrinkToFit="1"/>
    </xf>
    <xf numFmtId="0" fontId="43" fillId="0" borderId="34" xfId="39" applyFont="1" applyBorder="1" applyAlignment="1">
      <alignment horizontal="center" vertical="center" wrapText="1"/>
    </xf>
    <xf numFmtId="0" fontId="42" fillId="0" borderId="63" xfId="39" applyFont="1" applyBorder="1" applyAlignment="1">
      <alignment horizontal="center" vertical="center"/>
    </xf>
    <xf numFmtId="0" fontId="42" fillId="0" borderId="64" xfId="39" applyFont="1" applyBorder="1" applyAlignment="1">
      <alignment horizontal="center" vertical="center"/>
    </xf>
    <xf numFmtId="0" fontId="42" fillId="0" borderId="64" xfId="39" applyFont="1" applyBorder="1" applyAlignment="1">
      <alignment vertical="center"/>
    </xf>
    <xf numFmtId="3" fontId="42" fillId="0" borderId="64" xfId="39" applyNumberFormat="1" applyFont="1" applyBorder="1" applyAlignment="1">
      <alignment vertical="center"/>
    </xf>
    <xf numFmtId="0" fontId="42" fillId="0" borderId="65" xfId="39" applyFont="1" applyBorder="1" applyAlignment="1">
      <alignment vertical="center"/>
    </xf>
    <xf numFmtId="170" fontId="48" fillId="0" borderId="0" xfId="39" applyNumberFormat="1" applyFont="1" applyFill="1" applyBorder="1" applyAlignment="1">
      <alignment horizontal="right" vertical="center"/>
    </xf>
    <xf numFmtId="167" fontId="48" fillId="0" borderId="0" xfId="39" applyNumberFormat="1" applyFont="1" applyFill="1" applyBorder="1" applyAlignment="1">
      <alignment horizontal="right" vertical="center"/>
    </xf>
    <xf numFmtId="3" fontId="48" fillId="0" borderId="0" xfId="39" applyNumberFormat="1" applyFont="1" applyFill="1" applyBorder="1" applyAlignment="1">
      <alignment horizontal="right" vertical="center"/>
    </xf>
    <xf numFmtId="167" fontId="48" fillId="0" borderId="35" xfId="39" applyNumberFormat="1" applyFont="1" applyFill="1" applyBorder="1" applyAlignment="1">
      <alignment horizontal="right" vertical="center"/>
    </xf>
    <xf numFmtId="170" fontId="49" fillId="0" borderId="0" xfId="39" applyNumberFormat="1" applyFont="1" applyFill="1" applyBorder="1" applyAlignment="1">
      <alignment horizontal="right" vertical="center"/>
    </xf>
    <xf numFmtId="164" fontId="49" fillId="0" borderId="0" xfId="39" applyNumberFormat="1" applyFont="1" applyFill="1" applyBorder="1" applyAlignment="1">
      <alignment horizontal="right" vertical="center"/>
    </xf>
    <xf numFmtId="0" fontId="47" fillId="0" borderId="0" xfId="39" applyFont="1" applyBorder="1" applyAlignment="1">
      <alignment vertical="center"/>
    </xf>
    <xf numFmtId="164" fontId="49" fillId="0" borderId="35" xfId="39" applyNumberFormat="1" applyFont="1" applyFill="1" applyBorder="1" applyAlignment="1">
      <alignment horizontal="right" vertical="center"/>
    </xf>
    <xf numFmtId="167" fontId="49" fillId="0" borderId="0" xfId="39" applyNumberFormat="1" applyFont="1" applyFill="1" applyBorder="1" applyAlignment="1">
      <alignment horizontal="right" vertical="center"/>
    </xf>
    <xf numFmtId="164" fontId="42" fillId="0" borderId="0" xfId="39" applyNumberFormat="1" applyFont="1" applyBorder="1" applyAlignment="1">
      <alignment vertical="center" shrinkToFit="1"/>
    </xf>
    <xf numFmtId="164" fontId="48" fillId="0" borderId="0" xfId="39" applyNumberFormat="1" applyFont="1" applyFill="1" applyBorder="1" applyAlignment="1">
      <alignment horizontal="right" vertical="center"/>
    </xf>
    <xf numFmtId="164" fontId="48" fillId="0" borderId="35" xfId="39" applyNumberFormat="1" applyFont="1" applyFill="1" applyBorder="1" applyAlignment="1">
      <alignment horizontal="right" vertical="center"/>
    </xf>
    <xf numFmtId="167" fontId="42" fillId="0" borderId="0" xfId="39" applyNumberFormat="1" applyFont="1" applyAlignment="1">
      <alignment vertical="center"/>
    </xf>
    <xf numFmtId="0" fontId="48" fillId="26" borderId="70" xfId="39" applyFont="1" applyFill="1" applyBorder="1" applyAlignment="1">
      <alignment vertical="center"/>
    </xf>
    <xf numFmtId="0" fontId="42" fillId="25" borderId="68" xfId="39" applyFont="1" applyFill="1" applyBorder="1" applyAlignment="1">
      <alignment horizontal="right" vertical="center"/>
    </xf>
    <xf numFmtId="170" fontId="48" fillId="25" borderId="71" xfId="39" applyNumberFormat="1" applyFont="1" applyFill="1" applyBorder="1" applyAlignment="1">
      <alignment vertical="center"/>
    </xf>
    <xf numFmtId="0" fontId="42" fillId="28" borderId="64" xfId="39" applyFont="1" applyFill="1" applyBorder="1" applyAlignment="1">
      <alignment horizontal="right" vertical="center" wrapText="1"/>
    </xf>
    <xf numFmtId="167" fontId="48" fillId="26" borderId="71" xfId="39" applyNumberFormat="1" applyFont="1" applyFill="1" applyBorder="1" applyAlignment="1">
      <alignment vertical="center"/>
    </xf>
    <xf numFmtId="9" fontId="48" fillId="25" borderId="71" xfId="39" applyNumberFormat="1" applyFont="1" applyFill="1" applyBorder="1" applyAlignment="1">
      <alignment horizontal="center" vertical="center"/>
    </xf>
    <xf numFmtId="0" fontId="42" fillId="29" borderId="55" xfId="39" applyFont="1" applyFill="1" applyBorder="1" applyAlignment="1">
      <alignment horizontal="right" vertical="center"/>
    </xf>
    <xf numFmtId="3" fontId="42" fillId="0" borderId="50" xfId="39" applyNumberFormat="1" applyFont="1" applyFill="1" applyBorder="1" applyAlignment="1">
      <alignment vertical="center"/>
    </xf>
    <xf numFmtId="3" fontId="42" fillId="27" borderId="58" xfId="39" applyNumberFormat="1" applyFont="1" applyFill="1" applyBorder="1" applyAlignment="1">
      <alignment horizontal="right" vertical="center"/>
    </xf>
    <xf numFmtId="3" fontId="42" fillId="27" borderId="68" xfId="39" applyNumberFormat="1" applyFont="1" applyFill="1" applyBorder="1" applyAlignment="1">
      <alignment horizontal="right" vertical="center"/>
    </xf>
    <xf numFmtId="3" fontId="48" fillId="29" borderId="71" xfId="39" applyNumberFormat="1" applyFont="1" applyFill="1" applyBorder="1" applyAlignment="1">
      <alignment vertical="center"/>
    </xf>
    <xf numFmtId="167" fontId="48" fillId="32" borderId="71" xfId="39" applyNumberFormat="1" applyFont="1" applyFill="1" applyBorder="1" applyAlignment="1">
      <alignment vertical="center"/>
    </xf>
    <xf numFmtId="167" fontId="42" fillId="25" borderId="55" xfId="39" applyNumberFormat="1" applyFont="1" applyFill="1" applyBorder="1" applyAlignment="1">
      <alignment horizontal="right" vertical="center"/>
    </xf>
    <xf numFmtId="167" fontId="42" fillId="27" borderId="55" xfId="39" applyNumberFormat="1" applyFont="1" applyFill="1" applyBorder="1" applyAlignment="1">
      <alignment horizontal="right" vertical="center"/>
    </xf>
    <xf numFmtId="167" fontId="42" fillId="32" borderId="55" xfId="39" applyNumberFormat="1" applyFont="1" applyFill="1" applyBorder="1" applyAlignment="1">
      <alignment horizontal="right" vertical="center"/>
    </xf>
    <xf numFmtId="167" fontId="42" fillId="26" borderId="55" xfId="39" applyNumberFormat="1" applyFont="1" applyFill="1" applyBorder="1" applyAlignment="1">
      <alignment horizontal="right" vertical="center"/>
    </xf>
    <xf numFmtId="167" fontId="48" fillId="29" borderId="73" xfId="39" applyNumberFormat="1" applyFont="1" applyFill="1" applyBorder="1" applyAlignment="1">
      <alignment vertical="center"/>
    </xf>
    <xf numFmtId="0" fontId="42" fillId="26" borderId="50" xfId="39" applyFont="1" applyFill="1" applyBorder="1" applyAlignment="1">
      <alignment horizontal="right" vertical="center"/>
    </xf>
    <xf numFmtId="0" fontId="42" fillId="26" borderId="57" xfId="39" applyFont="1" applyFill="1" applyBorder="1" applyAlignment="1">
      <alignment horizontal="right" vertical="center"/>
    </xf>
    <xf numFmtId="0" fontId="48" fillId="26" borderId="17" xfId="39" applyFont="1" applyFill="1" applyBorder="1" applyAlignment="1">
      <alignment vertical="center"/>
    </xf>
    <xf numFmtId="3" fontId="42" fillId="26" borderId="74" xfId="39" applyNumberFormat="1" applyFont="1" applyFill="1" applyBorder="1" applyAlignment="1">
      <alignment vertical="center"/>
    </xf>
    <xf numFmtId="167" fontId="48" fillId="29" borderId="75" xfId="39" applyNumberFormat="1" applyFont="1" applyFill="1" applyBorder="1" applyAlignment="1">
      <alignment vertical="center"/>
    </xf>
    <xf numFmtId="3" fontId="48" fillId="32" borderId="71" xfId="39" applyNumberFormat="1" applyFont="1" applyFill="1" applyBorder="1" applyAlignment="1">
      <alignment vertical="center"/>
    </xf>
    <xf numFmtId="167" fontId="48" fillId="32" borderId="75" xfId="39" applyNumberFormat="1" applyFont="1" applyFill="1" applyBorder="1" applyAlignment="1">
      <alignment vertical="center"/>
    </xf>
    <xf numFmtId="0" fontId="43" fillId="0" borderId="0" xfId="39" applyFont="1"/>
    <xf numFmtId="0" fontId="48" fillId="32" borderId="17" xfId="39" applyFont="1" applyFill="1" applyBorder="1" applyAlignment="1">
      <alignment vertical="center"/>
    </xf>
    <xf numFmtId="0" fontId="48" fillId="27" borderId="17" xfId="39" applyFont="1" applyFill="1" applyBorder="1" applyAlignment="1">
      <alignment vertical="center"/>
    </xf>
    <xf numFmtId="0" fontId="42" fillId="25" borderId="74" xfId="39" applyFont="1" applyFill="1" applyBorder="1" applyAlignment="1">
      <alignment horizontal="right" vertical="center"/>
    </xf>
    <xf numFmtId="167" fontId="42" fillId="27" borderId="50" xfId="39" applyNumberFormat="1" applyFont="1" applyFill="1" applyBorder="1" applyAlignment="1">
      <alignment horizontal="right" vertical="center"/>
    </xf>
    <xf numFmtId="9" fontId="48" fillId="25" borderId="76" xfId="39" applyNumberFormat="1" applyFont="1" applyFill="1" applyBorder="1" applyAlignment="1">
      <alignment horizontal="center" vertical="center"/>
    </xf>
    <xf numFmtId="0" fontId="41" fillId="0" borderId="56" xfId="39" applyFont="1" applyFill="1" applyBorder="1" applyAlignment="1">
      <alignment horizontal="center" vertical="center"/>
    </xf>
    <xf numFmtId="0" fontId="42" fillId="33" borderId="56" xfId="39" applyFont="1" applyFill="1" applyBorder="1" applyAlignment="1">
      <alignment horizontal="center" vertical="center"/>
    </xf>
    <xf numFmtId="167" fontId="48" fillId="32" borderId="73" xfId="39" applyNumberFormat="1" applyFont="1" applyFill="1" applyBorder="1" applyAlignment="1">
      <alignment vertical="center"/>
    </xf>
    <xf numFmtId="0" fontId="42" fillId="29" borderId="66" xfId="39" applyFont="1" applyFill="1" applyBorder="1" applyAlignment="1">
      <alignment horizontal="right" vertical="center"/>
    </xf>
    <xf numFmtId="0" fontId="41" fillId="0" borderId="34" xfId="39" applyFont="1" applyFill="1" applyBorder="1" applyAlignment="1">
      <alignment horizontal="center" vertical="center"/>
    </xf>
    <xf numFmtId="0" fontId="42" fillId="33" borderId="34" xfId="39" applyFont="1" applyFill="1" applyBorder="1" applyAlignment="1">
      <alignment horizontal="center" vertical="center"/>
    </xf>
    <xf numFmtId="167" fontId="48" fillId="27" borderId="71" xfId="39" applyNumberFormat="1" applyFont="1" applyFill="1" applyBorder="1" applyAlignment="1">
      <alignment vertical="center"/>
    </xf>
    <xf numFmtId="167" fontId="48" fillId="25" borderId="75" xfId="39" applyNumberFormat="1" applyFont="1" applyFill="1" applyBorder="1" applyAlignment="1">
      <alignment vertical="center"/>
    </xf>
    <xf numFmtId="0" fontId="42" fillId="35" borderId="51" xfId="39" applyFont="1" applyFill="1" applyBorder="1" applyAlignment="1">
      <alignment horizontal="center" vertical="center" wrapText="1" shrinkToFit="1"/>
    </xf>
    <xf numFmtId="0" fontId="42" fillId="35" borderId="64" xfId="39" applyFont="1" applyFill="1" applyBorder="1" applyAlignment="1">
      <alignment horizontal="center" vertical="center" wrapText="1" shrinkToFit="1"/>
    </xf>
    <xf numFmtId="0" fontId="42" fillId="35" borderId="52" xfId="39" applyFont="1" applyFill="1" applyBorder="1" applyAlignment="1">
      <alignment horizontal="center" vertical="center" wrapText="1" shrinkToFit="1"/>
    </xf>
    <xf numFmtId="0" fontId="42" fillId="34" borderId="51" xfId="39" applyFont="1" applyFill="1" applyBorder="1" applyAlignment="1">
      <alignment horizontal="center" vertical="center" wrapText="1" shrinkToFit="1"/>
    </xf>
    <xf numFmtId="0" fontId="42" fillId="34" borderId="52" xfId="39" applyFont="1" applyFill="1" applyBorder="1" applyAlignment="1">
      <alignment horizontal="center" vertical="center" wrapText="1" shrinkToFit="1"/>
    </xf>
    <xf numFmtId="0" fontId="42" fillId="34" borderId="53" xfId="39" applyFont="1" applyFill="1" applyBorder="1" applyAlignment="1">
      <alignment horizontal="center" vertical="center" wrapText="1" shrinkToFit="1"/>
    </xf>
    <xf numFmtId="0" fontId="42" fillId="0" borderId="0" xfId="39" applyFont="1" applyBorder="1" applyAlignment="1">
      <alignment horizontal="right" vertical="center" shrinkToFit="1"/>
    </xf>
    <xf numFmtId="0" fontId="42" fillId="28" borderId="62" xfId="39" applyFont="1" applyFill="1" applyBorder="1" applyAlignment="1">
      <alignment vertical="center" wrapText="1"/>
    </xf>
    <xf numFmtId="0" fontId="43" fillId="26" borderId="62" xfId="39" applyFont="1" applyFill="1" applyBorder="1" applyAlignment="1">
      <alignment vertical="center" wrapText="1" shrinkToFit="1"/>
    </xf>
    <xf numFmtId="0" fontId="42" fillId="26" borderId="62" xfId="39" applyFont="1" applyFill="1" applyBorder="1" applyAlignment="1">
      <alignment vertical="center" wrapText="1" shrinkToFit="1"/>
    </xf>
    <xf numFmtId="0" fontId="46" fillId="0" borderId="63" xfId="39" applyFont="1" applyBorder="1" applyAlignment="1">
      <alignment horizontal="right" vertical="center" wrapText="1"/>
    </xf>
    <xf numFmtId="0" fontId="42" fillId="0" borderId="64" xfId="39" applyFont="1" applyBorder="1" applyAlignment="1">
      <alignment horizontal="right" vertical="center" shrinkToFit="1"/>
    </xf>
    <xf numFmtId="0" fontId="42" fillId="0" borderId="65" xfId="39" applyFont="1" applyBorder="1" applyAlignment="1">
      <alignment horizontal="right" vertical="center" shrinkToFit="1"/>
    </xf>
    <xf numFmtId="0" fontId="46" fillId="0" borderId="34" xfId="39" applyFont="1" applyBorder="1" applyAlignment="1">
      <alignment horizontal="right" vertical="center" wrapText="1"/>
    </xf>
    <xf numFmtId="0" fontId="42" fillId="0" borderId="35" xfId="39" applyFont="1" applyBorder="1" applyAlignment="1">
      <alignment horizontal="right" vertical="center" shrinkToFit="1"/>
    </xf>
    <xf numFmtId="0" fontId="46" fillId="0" borderId="38" xfId="39" applyFont="1" applyBorder="1" applyAlignment="1">
      <alignment horizontal="right" vertical="center" wrapText="1"/>
    </xf>
    <xf numFmtId="3" fontId="48" fillId="25" borderId="39" xfId="39" applyNumberFormat="1" applyFont="1" applyFill="1" applyBorder="1" applyAlignment="1">
      <alignment horizontal="right" vertical="center"/>
    </xf>
    <xf numFmtId="3" fontId="48" fillId="25" borderId="61" xfId="39" applyNumberFormat="1" applyFont="1" applyFill="1" applyBorder="1" applyAlignment="1">
      <alignment horizontal="right" vertical="center"/>
    </xf>
    <xf numFmtId="3" fontId="42" fillId="0" borderId="64" xfId="39" applyNumberFormat="1" applyFont="1" applyBorder="1" applyAlignment="1">
      <alignment horizontal="right" vertical="center" shrinkToFit="1"/>
    </xf>
    <xf numFmtId="3" fontId="42" fillId="0" borderId="0" xfId="39" applyNumberFormat="1" applyFont="1" applyBorder="1" applyAlignment="1">
      <alignment horizontal="right" vertical="center" shrinkToFit="1"/>
    </xf>
    <xf numFmtId="3" fontId="49" fillId="0" borderId="0" xfId="39" applyNumberFormat="1" applyFont="1" applyFill="1" applyBorder="1" applyAlignment="1">
      <alignment horizontal="right" vertical="center"/>
    </xf>
    <xf numFmtId="167" fontId="42" fillId="0" borderId="0" xfId="39" applyNumberFormat="1" applyFont="1" applyBorder="1" applyAlignment="1">
      <alignment horizontal="right" vertical="center" shrinkToFit="1"/>
    </xf>
    <xf numFmtId="167" fontId="42" fillId="0" borderId="39" xfId="39" applyNumberFormat="1" applyFont="1" applyBorder="1" applyAlignment="1">
      <alignment horizontal="right" vertical="center" shrinkToFit="1"/>
    </xf>
    <xf numFmtId="3" fontId="49" fillId="0" borderId="35" xfId="39" applyNumberFormat="1" applyFont="1" applyFill="1" applyBorder="1" applyAlignment="1">
      <alignment horizontal="right" vertical="center"/>
    </xf>
    <xf numFmtId="3" fontId="42" fillId="0" borderId="65" xfId="39" applyNumberFormat="1" applyFont="1" applyBorder="1" applyAlignment="1">
      <alignment horizontal="right" vertical="center" shrinkToFit="1"/>
    </xf>
    <xf numFmtId="3" fontId="42" fillId="0" borderId="35" xfId="39" applyNumberFormat="1" applyFont="1" applyBorder="1" applyAlignment="1">
      <alignment horizontal="right" vertical="center" shrinkToFit="1"/>
    </xf>
    <xf numFmtId="1" fontId="42" fillId="0" borderId="0" xfId="39" applyNumberFormat="1" applyFont="1" applyBorder="1" applyAlignment="1">
      <alignment horizontal="right" vertical="center" shrinkToFit="1"/>
    </xf>
    <xf numFmtId="1" fontId="42" fillId="0" borderId="35" xfId="39" applyNumberFormat="1" applyFont="1" applyBorder="1" applyAlignment="1">
      <alignment horizontal="right" vertical="center" shrinkToFit="1"/>
    </xf>
    <xf numFmtId="167" fontId="42" fillId="0" borderId="35" xfId="39" applyNumberFormat="1" applyFont="1" applyBorder="1" applyAlignment="1">
      <alignment horizontal="right" vertical="center" shrinkToFit="1"/>
    </xf>
    <xf numFmtId="167" fontId="42" fillId="0" borderId="61" xfId="39" applyNumberFormat="1" applyFont="1" applyBorder="1" applyAlignment="1">
      <alignment horizontal="right" vertical="center" shrinkToFit="1"/>
    </xf>
    <xf numFmtId="0" fontId="25" fillId="0" borderId="77" xfId="0" applyFont="1" applyBorder="1"/>
    <xf numFmtId="164" fontId="32" fillId="0" borderId="78" xfId="29" applyNumberFormat="1" applyFont="1" applyBorder="1" applyAlignment="1">
      <alignment horizontal="right"/>
    </xf>
    <xf numFmtId="0" fontId="22" fillId="0" borderId="79" xfId="29" applyNumberFormat="1" applyFont="1" applyFill="1" applyBorder="1" applyAlignment="1">
      <alignment horizontal="right"/>
    </xf>
    <xf numFmtId="4" fontId="20" fillId="0" borderId="7" xfId="29" applyNumberFormat="1" applyFont="1" applyFill="1" applyBorder="1" applyAlignment="1">
      <alignment horizontal="center"/>
    </xf>
    <xf numFmtId="4" fontId="20" fillId="0" borderId="10" xfId="29" applyNumberFormat="1" applyFont="1" applyFill="1" applyBorder="1" applyAlignment="1">
      <alignment horizontal="center"/>
    </xf>
    <xf numFmtId="0" fontId="22" fillId="0" borderId="80" xfId="29" applyNumberFormat="1" applyFont="1" applyFill="1" applyBorder="1" applyAlignment="1">
      <alignment horizontal="center"/>
    </xf>
    <xf numFmtId="0" fontId="21" fillId="0" borderId="80" xfId="0" applyFont="1" applyBorder="1"/>
    <xf numFmtId="164" fontId="24" fillId="0" borderId="80" xfId="29" applyNumberFormat="1" applyFont="1" applyBorder="1" applyAlignment="1">
      <alignment horizontal="right"/>
    </xf>
    <xf numFmtId="0" fontId="24" fillId="0" borderId="80" xfId="0" applyFont="1" applyBorder="1" applyAlignment="1">
      <alignment horizontal="left"/>
    </xf>
    <xf numFmtId="167" fontId="22" fillId="0" borderId="80" xfId="29" applyNumberFormat="1" applyFont="1" applyFill="1" applyBorder="1" applyAlignment="1">
      <alignment horizontal="center"/>
    </xf>
    <xf numFmtId="0" fontId="21" fillId="0" borderId="80" xfId="0" applyFont="1" applyBorder="1" applyAlignment="1">
      <alignment horizontal="left"/>
    </xf>
    <xf numFmtId="4" fontId="22" fillId="27" borderId="7" xfId="29" applyNumberFormat="1" applyFont="1" applyFill="1" applyBorder="1" applyAlignment="1">
      <alignment horizontal="center"/>
    </xf>
    <xf numFmtId="0" fontId="0" fillId="36" borderId="0" xfId="0" applyFill="1"/>
    <xf numFmtId="0" fontId="42" fillId="36" borderId="0" xfId="39" applyFont="1" applyFill="1" applyBorder="1" applyAlignment="1">
      <alignment vertical="center"/>
    </xf>
    <xf numFmtId="0" fontId="42" fillId="36" borderId="0" xfId="39" applyFont="1" applyFill="1"/>
    <xf numFmtId="0" fontId="40" fillId="36" borderId="0" xfId="39" applyFont="1" applyFill="1"/>
    <xf numFmtId="0" fontId="46" fillId="36" borderId="0" xfId="39" applyFont="1" applyFill="1" applyBorder="1" applyAlignment="1">
      <alignment horizontal="right" vertical="center" wrapText="1"/>
    </xf>
    <xf numFmtId="3" fontId="48" fillId="36" borderId="0" xfId="39" applyNumberFormat="1" applyFont="1" applyFill="1" applyBorder="1" applyAlignment="1">
      <alignment vertical="center"/>
    </xf>
    <xf numFmtId="167" fontId="42" fillId="36" borderId="72" xfId="39" applyNumberFormat="1" applyFont="1" applyFill="1" applyBorder="1" applyAlignment="1">
      <alignment horizontal="right" vertical="center"/>
    </xf>
    <xf numFmtId="167" fontId="42" fillId="36" borderId="81" xfId="39" applyNumberFormat="1" applyFont="1" applyFill="1" applyBorder="1" applyAlignment="1">
      <alignment horizontal="right" vertical="center"/>
    </xf>
    <xf numFmtId="0" fontId="42" fillId="36" borderId="81" xfId="39" applyFont="1" applyFill="1" applyBorder="1" applyAlignment="1">
      <alignment horizontal="right" vertical="center"/>
    </xf>
    <xf numFmtId="167" fontId="48" fillId="36" borderId="0" xfId="39" applyNumberFormat="1" applyFont="1" applyFill="1" applyBorder="1" applyAlignment="1">
      <alignment vertical="center"/>
    </xf>
    <xf numFmtId="167" fontId="48" fillId="36" borderId="0" xfId="39" applyNumberFormat="1" applyFont="1" applyFill="1" applyBorder="1" applyAlignment="1">
      <alignment horizontal="right" vertical="center"/>
    </xf>
    <xf numFmtId="3" fontId="49" fillId="36" borderId="0" xfId="39" applyNumberFormat="1" applyFont="1" applyFill="1" applyBorder="1" applyAlignment="1">
      <alignment horizontal="right" vertical="center"/>
    </xf>
    <xf numFmtId="164" fontId="49" fillId="36" borderId="0" xfId="39" applyNumberFormat="1" applyFont="1" applyFill="1" applyBorder="1" applyAlignment="1">
      <alignment horizontal="right" vertical="center"/>
    </xf>
    <xf numFmtId="164" fontId="48" fillId="36" borderId="0" xfId="39" applyNumberFormat="1" applyFont="1" applyFill="1" applyBorder="1" applyAlignment="1">
      <alignment horizontal="right" vertical="center"/>
    </xf>
    <xf numFmtId="4" fontId="48" fillId="29" borderId="71" xfId="39" applyNumberFormat="1" applyFont="1" applyFill="1" applyBorder="1" applyAlignment="1">
      <alignment vertical="center"/>
    </xf>
    <xf numFmtId="170" fontId="48" fillId="25" borderId="73" xfId="39" applyNumberFormat="1" applyFont="1" applyFill="1" applyBorder="1" applyAlignment="1">
      <alignment vertical="center"/>
    </xf>
    <xf numFmtId="9" fontId="48" fillId="25" borderId="51" xfId="39" applyNumberFormat="1" applyFont="1" applyFill="1" applyBorder="1" applyAlignment="1">
      <alignment vertical="center"/>
    </xf>
    <xf numFmtId="9" fontId="48" fillId="25" borderId="54" xfId="39" applyNumberFormat="1" applyFont="1" applyFill="1" applyBorder="1" applyAlignment="1">
      <alignment vertical="center"/>
    </xf>
    <xf numFmtId="3" fontId="48" fillId="37" borderId="0" xfId="39" applyNumberFormat="1" applyFont="1" applyFill="1" applyBorder="1" applyAlignment="1">
      <alignment vertical="center"/>
    </xf>
    <xf numFmtId="0" fontId="42" fillId="0" borderId="53" xfId="39" applyFont="1" applyFill="1" applyBorder="1" applyAlignment="1">
      <alignment vertical="center" shrinkToFit="1"/>
    </xf>
    <xf numFmtId="0" fontId="50" fillId="0" borderId="53" xfId="39" applyFont="1" applyFill="1" applyBorder="1" applyAlignment="1">
      <alignment horizontal="right" vertical="center"/>
    </xf>
    <xf numFmtId="0" fontId="50" fillId="0" borderId="53" xfId="39" applyFont="1" applyFill="1" applyBorder="1" applyAlignment="1">
      <alignment horizontal="left" vertical="center"/>
    </xf>
    <xf numFmtId="3" fontId="48" fillId="36" borderId="53" xfId="39" applyNumberFormat="1" applyFont="1" applyFill="1" applyBorder="1" applyAlignment="1">
      <alignment vertical="center"/>
    </xf>
    <xf numFmtId="3" fontId="48" fillId="36" borderId="54" xfId="39" applyNumberFormat="1" applyFont="1" applyFill="1" applyBorder="1" applyAlignment="1">
      <alignment vertical="center"/>
    </xf>
    <xf numFmtId="0" fontId="42" fillId="0" borderId="53" xfId="39" applyFont="1" applyFill="1" applyBorder="1" applyAlignment="1">
      <alignment vertical="center"/>
    </xf>
    <xf numFmtId="0" fontId="42" fillId="28" borderId="39" xfId="39" applyFont="1" applyFill="1" applyBorder="1" applyAlignment="1">
      <alignment horizontal="right" vertical="center" wrapText="1"/>
    </xf>
    <xf numFmtId="0" fontId="50" fillId="0" borderId="39" xfId="39" applyFont="1" applyBorder="1" applyAlignment="1">
      <alignment horizontal="left" vertical="center"/>
    </xf>
    <xf numFmtId="0" fontId="51" fillId="36" borderId="51" xfId="39" applyFont="1" applyFill="1" applyBorder="1" applyAlignment="1">
      <alignment horizontal="left" vertical="top"/>
    </xf>
    <xf numFmtId="4" fontId="42" fillId="32" borderId="57" xfId="39" applyNumberFormat="1" applyFont="1" applyFill="1" applyBorder="1" applyAlignment="1">
      <alignment horizontal="right" vertical="center"/>
    </xf>
    <xf numFmtId="4" fontId="42" fillId="29" borderId="57" xfId="39" applyNumberFormat="1" applyFont="1" applyFill="1" applyBorder="1" applyAlignment="1">
      <alignment vertical="center"/>
    </xf>
    <xf numFmtId="170" fontId="42" fillId="25" borderId="57" xfId="39" applyNumberFormat="1" applyFont="1" applyFill="1" applyBorder="1" applyAlignment="1">
      <alignment vertical="center"/>
    </xf>
    <xf numFmtId="4" fontId="42" fillId="25" borderId="57" xfId="39" applyNumberFormat="1" applyFont="1" applyFill="1" applyBorder="1" applyAlignment="1">
      <alignment vertical="center"/>
    </xf>
    <xf numFmtId="0" fontId="42" fillId="29" borderId="82" xfId="39" applyFont="1" applyFill="1" applyBorder="1" applyAlignment="1">
      <alignment horizontal="right" vertical="center"/>
    </xf>
    <xf numFmtId="0" fontId="42" fillId="29" borderId="81" xfId="39" applyFont="1" applyFill="1" applyBorder="1" applyAlignment="1">
      <alignment horizontal="right" vertical="center"/>
    </xf>
    <xf numFmtId="0" fontId="43" fillId="37" borderId="0" xfId="39" applyFont="1" applyFill="1"/>
    <xf numFmtId="0" fontId="42" fillId="37" borderId="0" xfId="39" applyFont="1" applyFill="1" applyAlignment="1">
      <alignment horizontal="center"/>
    </xf>
    <xf numFmtId="167" fontId="7" fillId="21" borderId="2" xfId="27" applyNumberFormat="1" applyBorder="1" applyAlignment="1">
      <alignment horizontal="right" vertical="center"/>
    </xf>
    <xf numFmtId="0" fontId="42" fillId="26" borderId="82" xfId="39" applyFont="1" applyFill="1" applyBorder="1" applyAlignment="1">
      <alignment horizontal="right" vertical="center"/>
    </xf>
    <xf numFmtId="3" fontId="42" fillId="27" borderId="83" xfId="39" applyNumberFormat="1" applyFont="1" applyFill="1" applyBorder="1" applyAlignment="1">
      <alignment horizontal="right" vertical="center"/>
    </xf>
    <xf numFmtId="3" fontId="42" fillId="0" borderId="82" xfId="39" applyNumberFormat="1" applyFont="1" applyFill="1" applyBorder="1" applyAlignment="1">
      <alignment vertical="center"/>
    </xf>
    <xf numFmtId="0" fontId="48" fillId="26" borderId="82" xfId="39" applyFont="1" applyFill="1" applyBorder="1" applyAlignment="1">
      <alignment vertical="center"/>
    </xf>
    <xf numFmtId="0" fontId="48" fillId="32" borderId="82" xfId="39" applyFont="1" applyFill="1" applyBorder="1" applyAlignment="1">
      <alignment horizontal="right" vertical="center"/>
    </xf>
    <xf numFmtId="167" fontId="42" fillId="32" borderId="82" xfId="39" applyNumberFormat="1" applyFont="1" applyFill="1" applyBorder="1" applyAlignment="1">
      <alignment horizontal="right" vertical="center"/>
    </xf>
    <xf numFmtId="9" fontId="48" fillId="25" borderId="71" xfId="39" applyNumberFormat="1" applyFont="1" applyFill="1" applyBorder="1" applyAlignment="1">
      <alignment horizontal="left" vertical="center" indent="2"/>
    </xf>
    <xf numFmtId="4" fontId="42" fillId="27" borderId="57" xfId="39" applyNumberFormat="1" applyFont="1" applyFill="1" applyBorder="1" applyAlignment="1">
      <alignment horizontal="right" vertical="center"/>
    </xf>
    <xf numFmtId="0" fontId="43" fillId="26" borderId="0" xfId="39" applyFont="1" applyFill="1"/>
    <xf numFmtId="4" fontId="48" fillId="32" borderId="71" xfId="39" applyNumberFormat="1" applyFont="1" applyFill="1" applyBorder="1" applyAlignment="1">
      <alignment vertical="center"/>
    </xf>
    <xf numFmtId="170" fontId="42" fillId="32" borderId="57" xfId="39" applyNumberFormat="1" applyFont="1" applyFill="1" applyBorder="1" applyAlignment="1">
      <alignment vertical="center"/>
    </xf>
    <xf numFmtId="9" fontId="42" fillId="0" borderId="0" xfId="43" applyFont="1" applyBorder="1" applyAlignment="1">
      <alignment horizontal="center" vertical="center"/>
    </xf>
    <xf numFmtId="4" fontId="48" fillId="29" borderId="71" xfId="39" applyNumberFormat="1" applyFont="1" applyFill="1" applyBorder="1" applyAlignment="1">
      <alignment horizontal="right" vertical="center"/>
    </xf>
    <xf numFmtId="164" fontId="48" fillId="32" borderId="71" xfId="39" applyNumberFormat="1" applyFont="1" applyFill="1" applyBorder="1" applyAlignment="1">
      <alignment vertical="center"/>
    </xf>
    <xf numFmtId="167" fontId="42" fillId="29" borderId="57" xfId="39" applyNumberFormat="1" applyFont="1" applyFill="1" applyBorder="1" applyAlignment="1">
      <alignment horizontal="right" vertical="center"/>
    </xf>
    <xf numFmtId="167" fontId="42" fillId="26" borderId="82" xfId="39" applyNumberFormat="1" applyFont="1" applyFill="1" applyBorder="1" applyAlignment="1">
      <alignment horizontal="right" vertical="center"/>
    </xf>
    <xf numFmtId="0" fontId="42" fillId="0" borderId="0" xfId="39" applyFont="1" applyFill="1"/>
    <xf numFmtId="0" fontId="42" fillId="32" borderId="17" xfId="39" applyFont="1" applyFill="1" applyBorder="1" applyAlignment="1">
      <alignment vertical="center"/>
    </xf>
    <xf numFmtId="0" fontId="42" fillId="27" borderId="17" xfId="39" applyFont="1" applyFill="1" applyBorder="1" applyAlignment="1">
      <alignment vertical="center"/>
    </xf>
    <xf numFmtId="0" fontId="42" fillId="0" borderId="57" xfId="39" applyFont="1" applyFill="1" applyBorder="1" applyAlignment="1">
      <alignment vertical="center"/>
    </xf>
    <xf numFmtId="0" fontId="42" fillId="32" borderId="57" xfId="39" applyFont="1" applyFill="1" applyBorder="1" applyAlignment="1">
      <alignment vertical="center"/>
    </xf>
    <xf numFmtId="167" fontId="42" fillId="29" borderId="66" xfId="39" applyNumberFormat="1" applyFont="1" applyFill="1" applyBorder="1" applyAlignment="1">
      <alignment horizontal="right" vertical="center"/>
    </xf>
    <xf numFmtId="3" fontId="42" fillId="27" borderId="57" xfId="39" applyNumberFormat="1" applyFont="1" applyFill="1" applyBorder="1" applyAlignment="1">
      <alignment vertical="center"/>
    </xf>
    <xf numFmtId="169" fontId="48" fillId="26" borderId="82" xfId="39" applyNumberFormat="1" applyFont="1" applyFill="1" applyBorder="1" applyAlignment="1">
      <alignment vertical="center"/>
    </xf>
    <xf numFmtId="1" fontId="42" fillId="26" borderId="57" xfId="39" applyNumberFormat="1" applyFont="1" applyFill="1" applyBorder="1" applyAlignment="1">
      <alignment vertical="center"/>
    </xf>
    <xf numFmtId="0" fontId="42" fillId="28" borderId="0" xfId="39" applyFont="1" applyFill="1" applyBorder="1" applyAlignment="1">
      <alignment vertical="center" wrapText="1"/>
    </xf>
    <xf numFmtId="0" fontId="50" fillId="0" borderId="39" xfId="39" applyFont="1" applyFill="1" applyBorder="1" applyAlignment="1">
      <alignment horizontal="right" vertical="center"/>
    </xf>
    <xf numFmtId="0" fontId="52" fillId="0" borderId="0" xfId="39" applyFont="1" applyBorder="1" applyAlignment="1">
      <alignment horizontal="left" vertical="center"/>
    </xf>
    <xf numFmtId="0" fontId="42" fillId="26" borderId="52" xfId="39" applyFont="1" applyFill="1" applyBorder="1" applyAlignment="1">
      <alignment horizontal="center" vertical="center" wrapText="1" shrinkToFit="1"/>
    </xf>
    <xf numFmtId="0" fontId="48" fillId="32" borderId="70" xfId="39" applyFont="1" applyFill="1" applyBorder="1" applyAlignment="1">
      <alignment vertical="center"/>
    </xf>
    <xf numFmtId="0" fontId="48" fillId="26" borderId="84" xfId="39" applyFont="1" applyFill="1" applyBorder="1" applyAlignment="1">
      <alignment vertical="center"/>
    </xf>
    <xf numFmtId="0" fontId="48" fillId="26" borderId="57" xfId="39" applyFont="1" applyFill="1" applyBorder="1" applyAlignment="1">
      <alignment vertical="center"/>
    </xf>
    <xf numFmtId="170" fontId="48" fillId="25" borderId="85" xfId="39" applyNumberFormat="1" applyFont="1" applyFill="1" applyBorder="1" applyAlignment="1">
      <alignment vertical="center"/>
    </xf>
    <xf numFmtId="3" fontId="48" fillId="0" borderId="34" xfId="39" applyNumberFormat="1" applyFont="1" applyFill="1" applyBorder="1" applyAlignment="1">
      <alignment vertical="center"/>
    </xf>
    <xf numFmtId="0" fontId="42" fillId="0" borderId="38" xfId="39" applyFont="1" applyFill="1" applyBorder="1" applyAlignment="1">
      <alignment vertical="center" shrinkToFit="1"/>
    </xf>
    <xf numFmtId="0" fontId="42" fillId="26" borderId="63" xfId="39" applyFont="1" applyFill="1" applyBorder="1" applyAlignment="1">
      <alignment horizontal="center" vertical="center" wrapText="1" shrinkToFit="1"/>
    </xf>
    <xf numFmtId="9" fontId="48" fillId="25" borderId="86" xfId="39" applyNumberFormat="1" applyFont="1" applyFill="1" applyBorder="1" applyAlignment="1">
      <alignment horizontal="center" vertical="center"/>
    </xf>
    <xf numFmtId="9" fontId="48" fillId="0" borderId="34" xfId="39" applyNumberFormat="1" applyFont="1" applyFill="1" applyBorder="1" applyAlignment="1">
      <alignment horizontal="center" vertical="center"/>
    </xf>
    <xf numFmtId="164" fontId="42" fillId="0" borderId="34" xfId="39" applyNumberFormat="1" applyFont="1" applyBorder="1" applyAlignment="1">
      <alignment vertical="center" shrinkToFit="1"/>
    </xf>
    <xf numFmtId="3" fontId="48" fillId="25" borderId="38" xfId="39" applyNumberFormat="1" applyFont="1" applyFill="1" applyBorder="1" applyAlignment="1">
      <alignment vertical="center"/>
    </xf>
    <xf numFmtId="3" fontId="48" fillId="0" borderId="61" xfId="39" applyNumberFormat="1" applyFont="1" applyFill="1" applyBorder="1" applyAlignment="1">
      <alignment vertical="center"/>
    </xf>
    <xf numFmtId="0" fontId="46" fillId="0" borderId="51" xfId="39" applyFont="1" applyBorder="1" applyAlignment="1">
      <alignment horizontal="right" vertical="center" wrapText="1"/>
    </xf>
    <xf numFmtId="0" fontId="46" fillId="0" borderId="54" xfId="39" applyFont="1" applyBorder="1" applyAlignment="1">
      <alignment horizontal="right" vertical="center" wrapText="1"/>
    </xf>
    <xf numFmtId="4" fontId="48" fillId="0" borderId="0" xfId="39" applyNumberFormat="1" applyFont="1" applyFill="1" applyBorder="1" applyAlignment="1">
      <alignment horizontal="right" vertical="center"/>
    </xf>
    <xf numFmtId="2" fontId="48" fillId="26" borderId="17" xfId="39" applyNumberFormat="1" applyFont="1" applyFill="1" applyBorder="1" applyAlignment="1">
      <alignment vertical="center"/>
    </xf>
    <xf numFmtId="0" fontId="21" fillId="0" borderId="87" xfId="0" applyFont="1" applyBorder="1"/>
    <xf numFmtId="0" fontId="21" fillId="0" borderId="88" xfId="0" applyFont="1" applyBorder="1"/>
    <xf numFmtId="0" fontId="21" fillId="0" borderId="89" xfId="0" applyFont="1" applyBorder="1"/>
    <xf numFmtId="0" fontId="21" fillId="0" borderId="89" xfId="0" applyFont="1" applyFill="1" applyBorder="1"/>
    <xf numFmtId="9" fontId="20" fillId="24" borderId="90" xfId="29" applyNumberFormat="1" applyFont="1" applyFill="1" applyBorder="1" applyAlignment="1">
      <alignment horizontal="center"/>
    </xf>
    <xf numFmtId="9" fontId="23" fillId="0" borderId="91" xfId="29" applyNumberFormat="1" applyFont="1" applyFill="1" applyBorder="1" applyAlignment="1">
      <alignment horizontal="center"/>
    </xf>
    <xf numFmtId="0" fontId="21" fillId="0" borderId="79" xfId="0" applyFont="1" applyBorder="1"/>
    <xf numFmtId="9" fontId="20" fillId="24" borderId="91" xfId="29" applyNumberFormat="1" applyFont="1" applyFill="1" applyBorder="1" applyAlignment="1">
      <alignment horizontal="center"/>
    </xf>
    <xf numFmtId="0" fontId="21" fillId="0" borderId="94" xfId="0" applyFont="1" applyBorder="1"/>
    <xf numFmtId="0" fontId="25" fillId="0" borderId="95" xfId="0" applyFont="1" applyBorder="1" applyAlignment="1">
      <alignment horizontal="center"/>
    </xf>
    <xf numFmtId="0" fontId="22" fillId="0" borderId="94" xfId="0" applyFont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2" fillId="0" borderId="36" xfId="0" applyFont="1" applyBorder="1" applyAlignment="1">
      <alignment horizontal="right"/>
    </xf>
    <xf numFmtId="4" fontId="20" fillId="24" borderId="96" xfId="29" applyNumberFormat="1" applyFont="1" applyFill="1" applyBorder="1" applyAlignment="1">
      <alignment horizontal="center"/>
    </xf>
    <xf numFmtId="0" fontId="22" fillId="0" borderId="97" xfId="0" applyFont="1" applyBorder="1" applyAlignment="1">
      <alignment horizontal="left"/>
    </xf>
    <xf numFmtId="0" fontId="22" fillId="0" borderId="98" xfId="0" applyFont="1" applyBorder="1" applyAlignment="1">
      <alignment horizontal="right"/>
    </xf>
    <xf numFmtId="4" fontId="20" fillId="24" borderId="99" xfId="29" applyNumberFormat="1" applyFont="1" applyFill="1" applyBorder="1" applyAlignment="1">
      <alignment horizontal="center"/>
    </xf>
    <xf numFmtId="0" fontId="22" fillId="0" borderId="100" xfId="0" applyFont="1" applyBorder="1" applyAlignment="1">
      <alignment horizontal="left"/>
    </xf>
    <xf numFmtId="0" fontId="22" fillId="0" borderId="101" xfId="0" applyFont="1" applyBorder="1" applyAlignment="1">
      <alignment horizontal="right"/>
    </xf>
    <xf numFmtId="3" fontId="20" fillId="0" borderId="102" xfId="29" applyNumberFormat="1" applyFont="1" applyFill="1" applyBorder="1" applyAlignment="1">
      <alignment horizontal="center"/>
    </xf>
    <xf numFmtId="0" fontId="20" fillId="0" borderId="103" xfId="0" applyFont="1" applyBorder="1" applyAlignment="1">
      <alignment horizontal="left"/>
    </xf>
    <xf numFmtId="0" fontId="21" fillId="0" borderId="104" xfId="0" applyFont="1" applyBorder="1"/>
    <xf numFmtId="9" fontId="23" fillId="0" borderId="105" xfId="29" applyNumberFormat="1" applyFont="1" applyFill="1" applyBorder="1" applyAlignment="1">
      <alignment horizontal="center"/>
    </xf>
    <xf numFmtId="0" fontId="27" fillId="0" borderId="106" xfId="0" applyFont="1" applyBorder="1" applyAlignment="1">
      <alignment horizontal="center"/>
    </xf>
    <xf numFmtId="3" fontId="22" fillId="0" borderId="94" xfId="29" applyNumberFormat="1" applyFont="1" applyFill="1" applyBorder="1" applyAlignment="1">
      <alignment horizontal="center"/>
    </xf>
    <xf numFmtId="3" fontId="22" fillId="0" borderId="107" xfId="29" applyNumberFormat="1" applyFont="1" applyFill="1" applyBorder="1" applyAlignment="1">
      <alignment horizontal="center"/>
    </xf>
    <xf numFmtId="3" fontId="22" fillId="0" borderId="108" xfId="29" applyNumberFormat="1" applyFont="1" applyFill="1" applyBorder="1" applyAlignment="1">
      <alignment horizontal="center"/>
    </xf>
    <xf numFmtId="0" fontId="21" fillId="0" borderId="105" xfId="0" applyFont="1" applyBorder="1"/>
    <xf numFmtId="0" fontId="21" fillId="0" borderId="93" xfId="0" applyFont="1" applyBorder="1"/>
    <xf numFmtId="3" fontId="20" fillId="29" borderId="16" xfId="29" applyNumberFormat="1" applyFont="1" applyFill="1" applyBorder="1" applyAlignment="1">
      <alignment horizontal="right"/>
    </xf>
    <xf numFmtId="9" fontId="20" fillId="29" borderId="16" xfId="29" applyNumberFormat="1" applyFont="1" applyFill="1" applyBorder="1" applyAlignment="1">
      <alignment horizontal="right"/>
    </xf>
    <xf numFmtId="170" fontId="20" fillId="29" borderId="16" xfId="29" applyNumberFormat="1" applyFont="1" applyFill="1" applyBorder="1" applyAlignment="1">
      <alignment horizontal="right"/>
    </xf>
    <xf numFmtId="167" fontId="20" fillId="29" borderId="16" xfId="29" applyNumberFormat="1" applyFont="1" applyFill="1" applyBorder="1" applyAlignment="1">
      <alignment horizontal="right"/>
    </xf>
    <xf numFmtId="0" fontId="20" fillId="29" borderId="16" xfId="0" applyFont="1" applyFill="1" applyBorder="1" applyAlignment="1">
      <alignment horizontal="left"/>
    </xf>
    <xf numFmtId="0" fontId="23" fillId="0" borderId="109" xfId="0" applyFont="1" applyBorder="1"/>
    <xf numFmtId="164" fontId="22" fillId="0" borderId="109" xfId="29" applyNumberFormat="1" applyFont="1" applyBorder="1"/>
    <xf numFmtId="164" fontId="20" fillId="0" borderId="109" xfId="29" applyNumberFormat="1" applyFont="1" applyBorder="1" applyAlignment="1">
      <alignment horizontal="right"/>
    </xf>
    <xf numFmtId="167" fontId="23" fillId="0" borderId="109" xfId="29" applyNumberFormat="1" applyFont="1" applyBorder="1" applyAlignment="1">
      <alignment horizontal="right"/>
    </xf>
    <xf numFmtId="0" fontId="20" fillId="0" borderId="79" xfId="0" applyFont="1" applyBorder="1"/>
    <xf numFmtId="164" fontId="20" fillId="0" borderId="79" xfId="29" applyNumberFormat="1" applyFont="1" applyBorder="1" applyAlignment="1">
      <alignment horizontal="right"/>
    </xf>
    <xf numFmtId="167" fontId="23" fillId="0" borderId="79" xfId="29" applyNumberFormat="1" applyFont="1" applyBorder="1" applyAlignment="1">
      <alignment horizontal="right"/>
    </xf>
    <xf numFmtId="0" fontId="20" fillId="0" borderId="0" xfId="0" applyFont="1" applyBorder="1"/>
    <xf numFmtId="164" fontId="20" fillId="0" borderId="0" xfId="29" applyNumberFormat="1" applyFont="1" applyBorder="1" applyAlignment="1">
      <alignment horizontal="right"/>
    </xf>
    <xf numFmtId="167" fontId="23" fillId="0" borderId="0" xfId="29" applyNumberFormat="1" applyFont="1" applyBorder="1" applyAlignment="1">
      <alignment horizontal="right"/>
    </xf>
    <xf numFmtId="0" fontId="32" fillId="0" borderId="16" xfId="0" applyFont="1" applyBorder="1"/>
    <xf numFmtId="164" fontId="32" fillId="0" borderId="16" xfId="29" applyNumberFormat="1" applyFont="1" applyBorder="1"/>
    <xf numFmtId="167" fontId="32" fillId="0" borderId="16" xfId="29" applyNumberFormat="1" applyFont="1" applyBorder="1"/>
    <xf numFmtId="167" fontId="32" fillId="0" borderId="16" xfId="29" applyNumberFormat="1" applyFont="1" applyBorder="1" applyAlignment="1">
      <alignment horizontal="right"/>
    </xf>
    <xf numFmtId="3" fontId="22" fillId="29" borderId="16" xfId="29" applyNumberFormat="1" applyFont="1" applyFill="1" applyBorder="1" applyAlignment="1">
      <alignment horizontal="right"/>
    </xf>
    <xf numFmtId="0" fontId="20" fillId="29" borderId="7" xfId="0" applyFont="1" applyFill="1" applyBorder="1" applyAlignment="1">
      <alignment horizontal="left"/>
    </xf>
    <xf numFmtId="4" fontId="20" fillId="29" borderId="7" xfId="29" applyNumberFormat="1" applyFont="1" applyFill="1" applyBorder="1" applyAlignment="1">
      <alignment horizontal="center"/>
    </xf>
    <xf numFmtId="4" fontId="20" fillId="29" borderId="10" xfId="29" applyNumberFormat="1" applyFont="1" applyFill="1" applyBorder="1" applyAlignment="1">
      <alignment horizontal="center"/>
    </xf>
    <xf numFmtId="3" fontId="22" fillId="29" borderId="16" xfId="29" applyNumberFormat="1" applyFont="1" applyFill="1" applyBorder="1" applyAlignment="1">
      <alignment horizontal="center"/>
    </xf>
    <xf numFmtId="3" fontId="22" fillId="29" borderId="30" xfId="29" applyNumberFormat="1" applyFont="1" applyFill="1" applyBorder="1" applyAlignment="1">
      <alignment horizontal="center"/>
    </xf>
    <xf numFmtId="166" fontId="20" fillId="29" borderId="16" xfId="29" applyNumberFormat="1" applyFont="1" applyFill="1" applyBorder="1" applyAlignment="1">
      <alignment horizontal="right"/>
    </xf>
    <xf numFmtId="9" fontId="20" fillId="29" borderId="7" xfId="29" applyNumberFormat="1" applyFont="1" applyFill="1" applyBorder="1" applyAlignment="1">
      <alignment horizontal="center"/>
    </xf>
    <xf numFmtId="0" fontId="22" fillId="29" borderId="7" xfId="29" applyNumberFormat="1" applyFont="1" applyFill="1" applyBorder="1" applyAlignment="1">
      <alignment horizontal="center"/>
    </xf>
    <xf numFmtId="167" fontId="22" fillId="29" borderId="7" xfId="29" applyNumberFormat="1" applyFont="1" applyFill="1" applyBorder="1" applyAlignment="1">
      <alignment horizontal="center"/>
    </xf>
    <xf numFmtId="169" fontId="22" fillId="29" borderId="7" xfId="29" applyNumberFormat="1" applyFont="1" applyFill="1" applyBorder="1" applyAlignment="1">
      <alignment horizontal="center"/>
    </xf>
    <xf numFmtId="166" fontId="20" fillId="29" borderId="7" xfId="29" applyNumberFormat="1" applyFont="1" applyFill="1" applyBorder="1" applyAlignment="1">
      <alignment horizontal="center"/>
    </xf>
    <xf numFmtId="166" fontId="20" fillId="29" borderId="10" xfId="29" applyNumberFormat="1" applyFont="1" applyFill="1" applyBorder="1" applyAlignment="1">
      <alignment horizontal="center"/>
    </xf>
    <xf numFmtId="9" fontId="20" fillId="29" borderId="27" xfId="29" applyNumberFormat="1" applyFont="1" applyFill="1" applyBorder="1" applyAlignment="1">
      <alignment horizontal="center"/>
    </xf>
    <xf numFmtId="3" fontId="20" fillId="29" borderId="94" xfId="29" applyNumberFormat="1" applyFont="1" applyFill="1" applyBorder="1" applyAlignment="1">
      <alignment horizontal="center"/>
    </xf>
    <xf numFmtId="166" fontId="20" fillId="0" borderId="10" xfId="29" applyNumberFormat="1" applyFont="1" applyFill="1" applyBorder="1" applyAlignment="1">
      <alignment horizontal="center"/>
    </xf>
    <xf numFmtId="166" fontId="20" fillId="24" borderId="90" xfId="29" applyNumberFormat="1" applyFont="1" applyFill="1" applyBorder="1" applyAlignment="1">
      <alignment horizontal="center"/>
    </xf>
    <xf numFmtId="166" fontId="20" fillId="0" borderId="92" xfId="29" applyNumberFormat="1" applyFont="1" applyFill="1" applyBorder="1" applyAlignment="1">
      <alignment horizontal="center"/>
    </xf>
    <xf numFmtId="164" fontId="20" fillId="29" borderId="16" xfId="29" applyNumberFormat="1" applyFont="1" applyFill="1" applyBorder="1" applyAlignment="1">
      <alignment horizontal="right"/>
    </xf>
    <xf numFmtId="164" fontId="22" fillId="29" borderId="7" xfId="29" applyNumberFormat="1" applyFont="1" applyFill="1" applyBorder="1" applyAlignment="1">
      <alignment horizontal="right"/>
    </xf>
    <xf numFmtId="0" fontId="25" fillId="0" borderId="110" xfId="0" applyFont="1" applyBorder="1"/>
    <xf numFmtId="0" fontId="0" fillId="38" borderId="34" xfId="0" applyFill="1" applyBorder="1"/>
    <xf numFmtId="0" fontId="0" fillId="38" borderId="0" xfId="0" applyFill="1" applyBorder="1"/>
    <xf numFmtId="0" fontId="0" fillId="38" borderId="35" xfId="0" applyFill="1" applyBorder="1"/>
    <xf numFmtId="0" fontId="27" fillId="38" borderId="0" xfId="0" applyFont="1" applyFill="1" applyBorder="1" applyAlignment="1">
      <alignment horizontal="center"/>
    </xf>
    <xf numFmtId="0" fontId="22" fillId="38" borderId="0" xfId="0" applyFont="1" applyFill="1" applyBorder="1" applyAlignment="1">
      <alignment horizontal="left"/>
    </xf>
    <xf numFmtId="0" fontId="22" fillId="38" borderId="0" xfId="29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left"/>
    </xf>
    <xf numFmtId="0" fontId="20" fillId="38" borderId="0" xfId="0" applyFont="1" applyFill="1" applyBorder="1" applyAlignment="1">
      <alignment horizontal="right"/>
    </xf>
    <xf numFmtId="9" fontId="23" fillId="38" borderId="0" xfId="29" applyNumberFormat="1" applyFont="1" applyFill="1" applyBorder="1" applyAlignment="1">
      <alignment horizontal="right"/>
    </xf>
    <xf numFmtId="0" fontId="0" fillId="38" borderId="38" xfId="0" applyFill="1" applyBorder="1"/>
    <xf numFmtId="0" fontId="0" fillId="38" borderId="39" xfId="0" applyFill="1" applyBorder="1"/>
    <xf numFmtId="0" fontId="0" fillId="38" borderId="61" xfId="0" applyFill="1" applyBorder="1"/>
    <xf numFmtId="0" fontId="22" fillId="38" borderId="111" xfId="0" applyFont="1" applyFill="1" applyBorder="1" applyAlignment="1">
      <alignment horizontal="left"/>
    </xf>
    <xf numFmtId="0" fontId="22" fillId="38" borderId="112" xfId="0" applyFont="1" applyFill="1" applyBorder="1" applyAlignment="1">
      <alignment horizontal="left"/>
    </xf>
    <xf numFmtId="0" fontId="22" fillId="38" borderId="113" xfId="0" applyFont="1" applyFill="1" applyBorder="1" applyAlignment="1">
      <alignment horizontal="right"/>
    </xf>
    <xf numFmtId="0" fontId="22" fillId="38" borderId="115" xfId="0" applyFont="1" applyFill="1" applyBorder="1" applyAlignment="1">
      <alignment horizontal="right"/>
    </xf>
    <xf numFmtId="0" fontId="22" fillId="38" borderId="114" xfId="0" applyFont="1" applyFill="1" applyBorder="1" applyAlignment="1">
      <alignment horizontal="right"/>
    </xf>
    <xf numFmtId="0" fontId="22" fillId="38" borderId="114" xfId="0" applyFont="1" applyFill="1" applyBorder="1" applyAlignment="1">
      <alignment horizontal="left"/>
    </xf>
    <xf numFmtId="0" fontId="22" fillId="38" borderId="117" xfId="0" applyFont="1" applyFill="1" applyBorder="1" applyAlignment="1">
      <alignment horizontal="left"/>
    </xf>
    <xf numFmtId="3" fontId="22" fillId="38" borderId="116" xfId="29" applyNumberFormat="1" applyFont="1" applyFill="1" applyBorder="1" applyAlignment="1">
      <alignment horizontal="right"/>
    </xf>
    <xf numFmtId="0" fontId="20" fillId="38" borderId="117" xfId="0" applyFont="1" applyFill="1" applyBorder="1" applyAlignment="1">
      <alignment horizontal="left"/>
    </xf>
    <xf numFmtId="0" fontId="23" fillId="38" borderId="117" xfId="0" applyFont="1" applyFill="1" applyBorder="1" applyAlignment="1">
      <alignment horizontal="left"/>
    </xf>
    <xf numFmtId="0" fontId="20" fillId="38" borderId="118" xfId="0" applyFont="1" applyFill="1" applyBorder="1" applyAlignment="1">
      <alignment horizontal="right"/>
    </xf>
    <xf numFmtId="0" fontId="20" fillId="38" borderId="119" xfId="0" applyFont="1" applyFill="1" applyBorder="1" applyAlignment="1">
      <alignment horizontal="left"/>
    </xf>
    <xf numFmtId="0" fontId="22" fillId="38" borderId="120" xfId="0" applyFont="1" applyFill="1" applyBorder="1" applyAlignment="1">
      <alignment horizontal="right"/>
    </xf>
    <xf numFmtId="179" fontId="22" fillId="38" borderId="121" xfId="29" applyNumberFormat="1" applyFont="1" applyFill="1" applyBorder="1" applyAlignment="1">
      <alignment horizontal="right"/>
    </xf>
    <xf numFmtId="0" fontId="22" fillId="38" borderId="122" xfId="0" applyFont="1" applyFill="1" applyBorder="1" applyAlignment="1">
      <alignment horizontal="left"/>
    </xf>
    <xf numFmtId="0" fontId="20" fillId="38" borderId="123" xfId="0" applyFont="1" applyFill="1" applyBorder="1" applyAlignment="1">
      <alignment horizontal="left"/>
    </xf>
    <xf numFmtId="3" fontId="22" fillId="38" borderId="114" xfId="29" applyNumberFormat="1" applyFont="1" applyFill="1" applyBorder="1" applyAlignment="1">
      <alignment horizontal="right"/>
    </xf>
    <xf numFmtId="0" fontId="20" fillId="38" borderId="124" xfId="0" applyFont="1" applyFill="1" applyBorder="1" applyAlignment="1">
      <alignment horizontal="left"/>
    </xf>
    <xf numFmtId="0" fontId="20" fillId="38" borderId="112" xfId="0" applyFont="1" applyFill="1" applyBorder="1" applyAlignment="1">
      <alignment horizontal="left"/>
    </xf>
    <xf numFmtId="0" fontId="20" fillId="38" borderId="116" xfId="0" applyFont="1" applyFill="1" applyBorder="1" applyAlignment="1">
      <alignment horizontal="left"/>
    </xf>
    <xf numFmtId="0" fontId="25" fillId="38" borderId="126" xfId="0" applyFont="1" applyFill="1" applyBorder="1" applyAlignment="1">
      <alignment horizontal="left"/>
    </xf>
    <xf numFmtId="0" fontId="0" fillId="38" borderId="127" xfId="0" applyFill="1" applyBorder="1"/>
    <xf numFmtId="0" fontId="0" fillId="38" borderId="128" xfId="0" applyFill="1" applyBorder="1"/>
    <xf numFmtId="0" fontId="0" fillId="38" borderId="129" xfId="0" applyFill="1" applyBorder="1"/>
    <xf numFmtId="0" fontId="0" fillId="38" borderId="125" xfId="0" applyFill="1" applyBorder="1"/>
    <xf numFmtId="0" fontId="0" fillId="38" borderId="130" xfId="0" applyFill="1" applyBorder="1"/>
    <xf numFmtId="4" fontId="22" fillId="38" borderId="114" xfId="29" applyNumberFormat="1" applyFont="1" applyFill="1" applyBorder="1" applyAlignment="1">
      <alignment horizontal="right"/>
    </xf>
    <xf numFmtId="0" fontId="25" fillId="38" borderId="116" xfId="0" applyFont="1" applyFill="1" applyBorder="1" applyAlignment="1">
      <alignment horizontal="left"/>
    </xf>
    <xf numFmtId="164" fontId="22" fillId="24" borderId="96" xfId="29" applyNumberFormat="1" applyFont="1" applyFill="1" applyBorder="1" applyAlignment="1">
      <alignment horizontal="center"/>
    </xf>
    <xf numFmtId="0" fontId="21" fillId="0" borderId="96" xfId="0" applyFont="1" applyBorder="1"/>
    <xf numFmtId="0" fontId="21" fillId="0" borderId="96" xfId="0" applyFont="1" applyFill="1" applyBorder="1"/>
    <xf numFmtId="44" fontId="22" fillId="26" borderId="7" xfId="29" applyFont="1" applyFill="1" applyBorder="1"/>
    <xf numFmtId="0" fontId="22" fillId="26" borderId="11" xfId="29" applyNumberFormat="1" applyFont="1" applyFill="1" applyBorder="1" applyAlignment="1">
      <alignment horizontal="right"/>
    </xf>
    <xf numFmtId="0" fontId="22" fillId="26" borderId="7" xfId="29" applyNumberFormat="1" applyFont="1" applyFill="1" applyBorder="1" applyAlignment="1">
      <alignment horizontal="center"/>
    </xf>
    <xf numFmtId="0" fontId="22" fillId="26" borderId="7" xfId="29" applyNumberFormat="1" applyFont="1" applyFill="1" applyBorder="1" applyAlignment="1">
      <alignment horizontal="left"/>
    </xf>
    <xf numFmtId="167" fontId="24" fillId="39" borderId="7" xfId="29" applyNumberFormat="1" applyFont="1" applyFill="1" applyBorder="1" applyAlignment="1">
      <alignment horizontal="right"/>
    </xf>
    <xf numFmtId="0" fontId="22" fillId="0" borderId="96" xfId="29" applyNumberFormat="1" applyFont="1" applyFill="1" applyBorder="1" applyAlignment="1">
      <alignment horizontal="center"/>
    </xf>
    <xf numFmtId="168" fontId="22" fillId="24" borderId="96" xfId="29" applyNumberFormat="1" applyFont="1" applyFill="1" applyBorder="1" applyAlignment="1">
      <alignment horizontal="center"/>
    </xf>
    <xf numFmtId="167" fontId="22" fillId="0" borderId="96" xfId="29" applyNumberFormat="1" applyFont="1" applyFill="1" applyBorder="1" applyAlignment="1">
      <alignment horizontal="center"/>
    </xf>
    <xf numFmtId="164" fontId="24" fillId="0" borderId="96" xfId="29" applyNumberFormat="1" applyFont="1" applyBorder="1" applyAlignment="1">
      <alignment horizontal="right"/>
    </xf>
    <xf numFmtId="0" fontId="24" fillId="0" borderId="96" xfId="0" applyFont="1" applyBorder="1" applyAlignment="1">
      <alignment horizontal="left"/>
    </xf>
    <xf numFmtId="0" fontId="0" fillId="38" borderId="131" xfId="0" applyFill="1" applyBorder="1"/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48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eutral 2" xfId="49"/>
    <cellStyle name="Normal" xfId="0" builtinId="0"/>
    <cellStyle name="Normal 2" xfId="39"/>
    <cellStyle name="Normal 3" xfId="40"/>
    <cellStyle name="Normal 4" xfId="47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ASH'S%20STUFF\FARMER%20CONSULTATIONS\Lajoie%20Farms\Lajoie%20Farms%20BUDGET%20with%20Switchboar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OLLINATION%20SECURITY\Sam%20Hanes%20-%20SSI%20Grant\Sam%20Hanes%20-%20SSI%20BB%20&amp;%20Bee%20Pasture%20Budget\Bee_Forage_Habitat_BUDGETS_Fo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tchboard"/>
      <sheetName val="Cash Flow"/>
      <sheetName val="Acres &amp; Yield"/>
      <sheetName val="Plant Specs"/>
      <sheetName val="Chemicals"/>
      <sheetName val="Key Data"/>
      <sheetName val="YukOperCosts"/>
      <sheetName val="YukOwnCosts"/>
      <sheetName val="YukBudget"/>
      <sheetName val="AndOperCosts"/>
      <sheetName val="AndOwnCosts"/>
      <sheetName val="AndBudget"/>
      <sheetName val="MarOperCosts"/>
      <sheetName val="MarOwnCosts"/>
      <sheetName val="MarBudget"/>
      <sheetName val="AdrOperCosts"/>
      <sheetName val="AdrOwnCosts"/>
      <sheetName val="AdrBudget"/>
      <sheetName val="AlBOperCosts"/>
      <sheetName val="AlBOwnCosts"/>
      <sheetName val="AlBBudget"/>
      <sheetName val="RusOperCosts"/>
      <sheetName val="RusOwnCosts"/>
      <sheetName val="RusBudget"/>
      <sheetName val="InvOperCosts"/>
      <sheetName val="InvOwnCosts"/>
      <sheetName val="InvBudget"/>
      <sheetName val="BarOperCosts"/>
      <sheetName val="BarOwnCosts"/>
      <sheetName val="BarBudget"/>
      <sheetName val="OatOperCosts"/>
      <sheetName val="OatOwnCosts"/>
      <sheetName val="OatBudget"/>
      <sheetName val="RyeOperCosts"/>
      <sheetName val="RyeOwnCosts"/>
      <sheetName val="RyeBudget"/>
      <sheetName val="SoyOperCosts"/>
      <sheetName val="SoyOwnCosts"/>
      <sheetName val="SoyBudget"/>
      <sheetName val="CanOperCosts"/>
      <sheetName val="CanOwnCosts"/>
      <sheetName val="CanBudget"/>
      <sheetName val="BeetOperCosts"/>
      <sheetName val="BeetOwnCosts"/>
      <sheetName val="BeetBudget"/>
      <sheetName val="MarSdOperCosts"/>
      <sheetName val="MarSdOwnCosts"/>
      <sheetName val="MarSdBudget"/>
      <sheetName val="AdrSdOperCosts"/>
      <sheetName val="AdrSdOwnCosts"/>
      <sheetName val="AdrSdBudget"/>
      <sheetName val="AlBSdOperCosts"/>
      <sheetName val="AlBSdOwnCosts"/>
      <sheetName val="AlBSdBudget"/>
      <sheetName val="RusSdOperCosts"/>
      <sheetName val="RusSdOwnCosts"/>
      <sheetName val="RusSdBudget"/>
      <sheetName val="FARM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>
            <v>22.2</v>
          </cell>
        </row>
        <row r="5">
          <cell r="B5">
            <v>22</v>
          </cell>
        </row>
        <row r="7">
          <cell r="B7">
            <v>52.6</v>
          </cell>
        </row>
        <row r="8">
          <cell r="B8">
            <v>191.1</v>
          </cell>
        </row>
        <row r="16">
          <cell r="B16">
            <v>48.8</v>
          </cell>
        </row>
        <row r="21">
          <cell r="B21">
            <v>1291.0999999999999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E PASTURE"/>
      <sheetName val="Untilled Strip - No Mow"/>
      <sheetName val="Untillled Strip - Mow"/>
      <sheetName val="Bee Pasture - Clover"/>
      <sheetName val="Bee Pasture - Wildflower"/>
    </sheetNames>
    <sheetDataSet>
      <sheetData sheetId="0">
        <row r="2">
          <cell r="H2">
            <v>3.787878787878788E-2</v>
          </cell>
        </row>
        <row r="3">
          <cell r="H3">
            <v>3.787878787878788E-2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workbookViewId="0">
      <selection activeCell="B5" sqref="B5"/>
    </sheetView>
  </sheetViews>
  <sheetFormatPr defaultRowHeight="18" customHeight="1" x14ac:dyDescent="0.25"/>
  <cols>
    <col min="1" max="1" width="5.6640625" customWidth="1"/>
    <col min="2" max="2" width="32.44140625" customWidth="1"/>
    <col min="3" max="3" width="15.33203125" customWidth="1"/>
    <col min="4" max="4" width="15.6640625" customWidth="1"/>
    <col min="6" max="6" width="13.77734375" customWidth="1"/>
    <col min="7" max="7" width="17.109375" customWidth="1"/>
    <col min="8" max="8" width="12.109375" customWidth="1"/>
    <col min="9" max="9" width="12.33203125" customWidth="1"/>
    <col min="10" max="10" width="13.109375" customWidth="1"/>
    <col min="12" max="12" width="11" customWidth="1"/>
    <col min="13" max="13" width="14" customWidth="1"/>
    <col min="14" max="15" width="13.21875" customWidth="1"/>
    <col min="18" max="18" width="13.109375" customWidth="1"/>
  </cols>
  <sheetData>
    <row r="1" spans="1:16" ht="18" customHeight="1" thickBot="1" x14ac:dyDescent="0.3">
      <c r="A1" s="666"/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8"/>
    </row>
    <row r="2" spans="1:16" ht="18" customHeight="1" thickBot="1" x14ac:dyDescent="0.45">
      <c r="A2" s="631"/>
      <c r="B2" s="663" t="s">
        <v>686</v>
      </c>
      <c r="C2" s="664"/>
      <c r="D2" s="664"/>
      <c r="E2" s="664"/>
      <c r="F2" s="664"/>
      <c r="G2" s="664"/>
      <c r="H2" s="664"/>
      <c r="I2" s="664"/>
      <c r="J2" s="664"/>
      <c r="K2" s="665"/>
      <c r="L2" s="632"/>
      <c r="M2" s="632"/>
      <c r="N2" s="632"/>
      <c r="O2" s="633"/>
    </row>
    <row r="3" spans="1:16" ht="18" customHeight="1" x14ac:dyDescent="0.25">
      <c r="A3" s="631"/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3"/>
    </row>
    <row r="4" spans="1:16" ht="18" customHeight="1" thickBot="1" x14ac:dyDescent="0.45">
      <c r="A4" s="631"/>
      <c r="B4" s="662" t="s">
        <v>680</v>
      </c>
      <c r="C4" s="632"/>
      <c r="D4" s="632"/>
      <c r="E4" s="634"/>
      <c r="F4" s="670" t="s">
        <v>710</v>
      </c>
      <c r="G4" s="632"/>
      <c r="H4" s="632"/>
      <c r="I4" s="632"/>
      <c r="J4" s="632"/>
      <c r="K4" s="632"/>
      <c r="L4" s="632"/>
      <c r="M4" s="632"/>
      <c r="N4" s="632"/>
      <c r="O4" s="633"/>
    </row>
    <row r="5" spans="1:16" ht="18" customHeight="1" thickBot="1" x14ac:dyDescent="0.45">
      <c r="A5" s="661"/>
      <c r="B5" s="595" t="s">
        <v>626</v>
      </c>
      <c r="C5" s="632"/>
      <c r="D5" s="632"/>
      <c r="E5" s="634"/>
      <c r="F5" s="594">
        <v>15</v>
      </c>
      <c r="G5" s="643" t="s">
        <v>711</v>
      </c>
      <c r="H5" s="684"/>
      <c r="I5" s="632"/>
      <c r="J5" s="632"/>
      <c r="K5" s="632"/>
      <c r="L5" s="632"/>
      <c r="M5" s="632"/>
      <c r="N5" s="632"/>
      <c r="O5" s="633"/>
    </row>
    <row r="6" spans="1:16" ht="18" customHeight="1" thickBot="1" x14ac:dyDescent="0.45">
      <c r="A6" s="660"/>
      <c r="B6" s="632"/>
      <c r="C6" s="632"/>
      <c r="D6" s="635"/>
      <c r="E6" s="634"/>
      <c r="F6" s="634"/>
      <c r="G6" s="632"/>
      <c r="H6" s="632"/>
      <c r="I6" s="632"/>
      <c r="J6" s="632"/>
      <c r="K6" s="632"/>
      <c r="L6" s="632"/>
      <c r="M6" s="632"/>
      <c r="N6" s="632"/>
      <c r="O6" s="633"/>
    </row>
    <row r="7" spans="1:16" ht="18" customHeight="1" thickBot="1" x14ac:dyDescent="0.45">
      <c r="A7" s="631"/>
      <c r="B7" s="651" t="s">
        <v>683</v>
      </c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3"/>
      <c r="P7" s="630"/>
    </row>
    <row r="8" spans="1:16" ht="18" customHeight="1" thickBot="1" x14ac:dyDescent="0.45">
      <c r="A8" s="631"/>
      <c r="B8" s="645" t="s">
        <v>684</v>
      </c>
      <c r="C8" s="593">
        <v>84.616783205224706</v>
      </c>
      <c r="D8" s="643" t="s">
        <v>391</v>
      </c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3"/>
    </row>
    <row r="9" spans="1:16" ht="18" customHeight="1" thickBot="1" x14ac:dyDescent="0.45">
      <c r="A9" s="631"/>
      <c r="B9" s="645" t="s">
        <v>685</v>
      </c>
      <c r="C9" s="593">
        <v>84.616783205224706</v>
      </c>
      <c r="D9" s="643" t="s">
        <v>391</v>
      </c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3"/>
    </row>
    <row r="10" spans="1:16" ht="18" customHeight="1" x14ac:dyDescent="0.4">
      <c r="A10" s="631"/>
      <c r="B10" s="632"/>
      <c r="C10" s="659">
        <f>C8*C9</f>
        <v>7159.9999999999982</v>
      </c>
      <c r="D10" s="648" t="s">
        <v>393</v>
      </c>
      <c r="E10" s="632"/>
      <c r="F10" s="669">
        <f>C10/43560</f>
        <v>0.16437098255280069</v>
      </c>
      <c r="G10" s="648" t="s">
        <v>36</v>
      </c>
      <c r="H10" s="632"/>
      <c r="I10" s="632"/>
      <c r="J10" s="632"/>
      <c r="K10" s="632"/>
      <c r="L10" s="632"/>
      <c r="M10" s="632"/>
      <c r="N10" s="632"/>
      <c r="O10" s="633"/>
    </row>
    <row r="11" spans="1:16" ht="18" customHeight="1" thickBot="1" x14ac:dyDescent="0.45">
      <c r="A11" s="631"/>
      <c r="B11" s="632"/>
      <c r="C11" s="632"/>
      <c r="D11" s="636"/>
      <c r="E11" s="635"/>
      <c r="F11" s="632"/>
      <c r="G11" s="632"/>
      <c r="H11" s="632"/>
      <c r="I11" s="632"/>
      <c r="J11" s="632"/>
      <c r="K11" s="632"/>
      <c r="L11" s="632"/>
      <c r="M11" s="637"/>
      <c r="N11" s="632"/>
      <c r="O11" s="633"/>
    </row>
    <row r="12" spans="1:16" ht="18" customHeight="1" thickBot="1" x14ac:dyDescent="0.45">
      <c r="A12" s="631"/>
      <c r="B12" s="651" t="s">
        <v>687</v>
      </c>
      <c r="C12" s="632"/>
      <c r="D12" s="636"/>
      <c r="E12" s="635"/>
      <c r="F12" s="632"/>
      <c r="G12" s="632"/>
      <c r="H12" s="632"/>
      <c r="I12" s="632"/>
      <c r="J12" s="591">
        <v>10</v>
      </c>
      <c r="K12" s="643" t="s">
        <v>700</v>
      </c>
      <c r="L12" s="632"/>
      <c r="M12" s="637"/>
      <c r="N12" s="632"/>
      <c r="O12" s="633"/>
    </row>
    <row r="13" spans="1:16" ht="18" customHeight="1" thickBot="1" x14ac:dyDescent="0.45">
      <c r="A13" s="631"/>
      <c r="B13" s="632"/>
      <c r="C13" s="632"/>
      <c r="D13" s="636"/>
      <c r="E13" s="635"/>
      <c r="F13" s="632"/>
      <c r="G13" s="632"/>
      <c r="H13" s="632"/>
      <c r="I13" s="632"/>
      <c r="J13" s="632"/>
      <c r="K13" s="632"/>
      <c r="L13" s="632"/>
      <c r="M13" s="637"/>
      <c r="N13" s="632"/>
      <c r="O13" s="633"/>
    </row>
    <row r="14" spans="1:16" ht="18" customHeight="1" thickBot="1" x14ac:dyDescent="0.45">
      <c r="A14" s="631"/>
      <c r="B14" s="651" t="s">
        <v>689</v>
      </c>
      <c r="C14" s="632"/>
      <c r="D14" s="636"/>
      <c r="E14" s="635"/>
      <c r="F14" s="632"/>
      <c r="G14" s="632"/>
      <c r="H14" s="632"/>
      <c r="I14" s="632"/>
      <c r="J14" s="591">
        <v>0</v>
      </c>
      <c r="K14" s="658" t="s">
        <v>688</v>
      </c>
      <c r="L14" s="632"/>
      <c r="M14" s="637"/>
      <c r="N14" s="632"/>
      <c r="O14" s="633"/>
    </row>
    <row r="15" spans="1:16" ht="18" customHeight="1" thickBot="1" x14ac:dyDescent="0.45">
      <c r="A15" s="631"/>
      <c r="B15" s="632"/>
      <c r="C15" s="632"/>
      <c r="D15" s="636"/>
      <c r="E15" s="635"/>
      <c r="F15" s="632"/>
      <c r="G15" s="632"/>
      <c r="H15" s="632"/>
      <c r="I15" s="632"/>
      <c r="J15" s="632"/>
      <c r="K15" s="632"/>
      <c r="L15" s="632"/>
      <c r="M15" s="637"/>
      <c r="N15" s="632"/>
      <c r="O15" s="633"/>
    </row>
    <row r="16" spans="1:16" ht="18" customHeight="1" thickBot="1" x14ac:dyDescent="0.45">
      <c r="A16" s="631"/>
      <c r="B16" s="651" t="s">
        <v>690</v>
      </c>
      <c r="C16" s="632"/>
      <c r="D16" s="636"/>
      <c r="E16" s="635"/>
      <c r="F16" s="632"/>
      <c r="G16" s="632"/>
      <c r="H16" s="591">
        <v>0</v>
      </c>
      <c r="I16" s="658" t="s">
        <v>688</v>
      </c>
      <c r="J16" s="637"/>
      <c r="K16" s="632"/>
      <c r="L16" s="632"/>
      <c r="M16" s="632"/>
      <c r="N16" s="632"/>
      <c r="O16" s="633"/>
    </row>
    <row r="17" spans="1:15" ht="18" customHeight="1" x14ac:dyDescent="0.4">
      <c r="A17" s="631"/>
      <c r="B17" s="632"/>
      <c r="C17" s="632"/>
      <c r="D17" s="636"/>
      <c r="E17" s="635"/>
      <c r="F17" s="632"/>
      <c r="G17" s="632"/>
      <c r="H17" s="632"/>
      <c r="I17" s="632"/>
      <c r="J17" s="632"/>
      <c r="K17" s="632"/>
      <c r="L17" s="632"/>
      <c r="M17" s="637"/>
      <c r="N17" s="632"/>
      <c r="O17" s="633"/>
    </row>
    <row r="18" spans="1:15" ht="18" customHeight="1" thickBot="1" x14ac:dyDescent="0.45">
      <c r="A18" s="631"/>
      <c r="B18" s="651" t="s">
        <v>691</v>
      </c>
      <c r="C18" s="632"/>
      <c r="D18" s="636"/>
      <c r="E18" s="635"/>
      <c r="F18" s="632"/>
      <c r="G18" s="632"/>
      <c r="H18" s="632"/>
      <c r="I18" s="632"/>
      <c r="J18" s="632"/>
      <c r="K18" s="632"/>
      <c r="L18" s="632"/>
      <c r="M18" s="637"/>
      <c r="N18" s="632"/>
      <c r="O18" s="633"/>
    </row>
    <row r="19" spans="1:15" ht="18" customHeight="1" thickBot="1" x14ac:dyDescent="0.45">
      <c r="A19" s="631"/>
      <c r="B19" s="645" t="s">
        <v>453</v>
      </c>
      <c r="C19" s="616">
        <v>0.36033519553072624</v>
      </c>
      <c r="D19" s="635"/>
      <c r="E19" s="655" t="s">
        <v>453</v>
      </c>
      <c r="F19" s="593">
        <v>1</v>
      </c>
      <c r="G19" s="643" t="s">
        <v>701</v>
      </c>
      <c r="H19" s="632"/>
      <c r="I19" s="647" t="s">
        <v>453</v>
      </c>
      <c r="J19" s="650">
        <f>43560/F19</f>
        <v>43560</v>
      </c>
      <c r="K19" s="649" t="s">
        <v>706</v>
      </c>
      <c r="L19" s="632"/>
      <c r="M19" s="645" t="s">
        <v>453</v>
      </c>
      <c r="N19" s="594">
        <v>1.35</v>
      </c>
      <c r="O19" s="644" t="s">
        <v>692</v>
      </c>
    </row>
    <row r="20" spans="1:15" ht="18" customHeight="1" thickBot="1" x14ac:dyDescent="0.45">
      <c r="A20" s="631"/>
      <c r="B20" s="645" t="s">
        <v>351</v>
      </c>
      <c r="C20" s="616">
        <v>0.63966480446927376</v>
      </c>
      <c r="D20" s="635"/>
      <c r="E20" s="647" t="s">
        <v>351</v>
      </c>
      <c r="F20" s="656">
        <f>J20/43560</f>
        <v>3.1450872359963265E-4</v>
      </c>
      <c r="G20" s="657" t="s">
        <v>693</v>
      </c>
      <c r="H20" s="632"/>
      <c r="I20" s="646" t="s">
        <v>351</v>
      </c>
      <c r="J20" s="593">
        <v>13.7</v>
      </c>
      <c r="K20" s="643" t="s">
        <v>0</v>
      </c>
      <c r="L20" s="632"/>
      <c r="M20" s="645" t="s">
        <v>351</v>
      </c>
      <c r="N20" s="594">
        <v>109.343065693431</v>
      </c>
      <c r="O20" s="644" t="s">
        <v>215</v>
      </c>
    </row>
    <row r="21" spans="1:15" ht="18" customHeight="1" x14ac:dyDescent="0.25">
      <c r="A21" s="631"/>
      <c r="B21" s="632"/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3"/>
    </row>
    <row r="22" spans="1:15" ht="18" customHeight="1" thickBot="1" x14ac:dyDescent="0.45">
      <c r="A22" s="631"/>
      <c r="B22" s="651" t="s">
        <v>694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3"/>
    </row>
    <row r="23" spans="1:15" ht="18" customHeight="1" thickBot="1" x14ac:dyDescent="0.45">
      <c r="A23" s="631"/>
      <c r="B23" s="638" t="s">
        <v>409</v>
      </c>
      <c r="C23" s="616">
        <v>0.204841713221601</v>
      </c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3"/>
    </row>
    <row r="24" spans="1:15" ht="18" customHeight="1" thickBot="1" x14ac:dyDescent="0.45">
      <c r="A24" s="631"/>
      <c r="B24" s="638" t="s">
        <v>408</v>
      </c>
      <c r="C24" s="616">
        <v>0.204841713221601</v>
      </c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3"/>
    </row>
    <row r="25" spans="1:15" ht="18" customHeight="1" thickBot="1" x14ac:dyDescent="0.45">
      <c r="A25" s="631"/>
      <c r="B25" s="638" t="s">
        <v>727</v>
      </c>
      <c r="C25" s="616">
        <v>0.59031657355679701</v>
      </c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3"/>
    </row>
    <row r="26" spans="1:15" ht="18" customHeight="1" x14ac:dyDescent="0.35">
      <c r="A26" s="631"/>
      <c r="B26" s="632"/>
      <c r="C26" s="639">
        <f>SUM(C23:C25)</f>
        <v>0.999999999999999</v>
      </c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3"/>
    </row>
    <row r="27" spans="1:15" ht="18" customHeight="1" x14ac:dyDescent="0.25">
      <c r="A27" s="631"/>
      <c r="B27" s="632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3"/>
    </row>
    <row r="28" spans="1:15" ht="18" customHeight="1" thickBot="1" x14ac:dyDescent="0.45">
      <c r="A28" s="631"/>
      <c r="B28" s="651" t="s">
        <v>695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3"/>
    </row>
    <row r="29" spans="1:15" ht="18" customHeight="1" thickBot="1" x14ac:dyDescent="0.45">
      <c r="A29" s="631"/>
      <c r="B29" s="638" t="s">
        <v>485</v>
      </c>
      <c r="C29" s="592">
        <v>0</v>
      </c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3"/>
    </row>
    <row r="30" spans="1:15" ht="18" customHeight="1" thickBot="1" x14ac:dyDescent="0.45">
      <c r="A30" s="631"/>
      <c r="B30" s="638" t="s">
        <v>486</v>
      </c>
      <c r="C30" s="592">
        <v>0</v>
      </c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3"/>
    </row>
    <row r="31" spans="1:15" ht="18" customHeight="1" thickBot="1" x14ac:dyDescent="0.45">
      <c r="A31" s="631"/>
      <c r="B31" s="638" t="s">
        <v>487</v>
      </c>
      <c r="C31" s="592">
        <v>1</v>
      </c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3"/>
    </row>
    <row r="32" spans="1:15" ht="18" customHeight="1" x14ac:dyDescent="0.35">
      <c r="A32" s="631"/>
      <c r="B32" s="632"/>
      <c r="C32" s="639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3"/>
    </row>
    <row r="33" spans="1:15" ht="18" customHeight="1" thickBot="1" x14ac:dyDescent="0.45">
      <c r="A33" s="631"/>
      <c r="B33" s="651" t="s">
        <v>729</v>
      </c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3"/>
    </row>
    <row r="34" spans="1:15" ht="18" customHeight="1" thickBot="1" x14ac:dyDescent="0.45">
      <c r="A34" s="631"/>
      <c r="B34" s="638" t="s">
        <v>728</v>
      </c>
      <c r="C34" s="616">
        <v>0.111731843575419</v>
      </c>
      <c r="D34" s="632"/>
      <c r="E34" s="591">
        <v>1</v>
      </c>
      <c r="F34" s="643" t="s">
        <v>696</v>
      </c>
      <c r="G34" s="632"/>
      <c r="H34" s="632"/>
      <c r="I34" s="632"/>
      <c r="J34" s="632"/>
      <c r="K34" s="632"/>
      <c r="L34" s="632"/>
      <c r="M34" s="632"/>
      <c r="N34" s="632"/>
      <c r="O34" s="633"/>
    </row>
    <row r="35" spans="1:15" ht="18" customHeight="1" x14ac:dyDescent="0.25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3"/>
    </row>
    <row r="36" spans="1:15" ht="18" customHeight="1" thickBot="1" x14ac:dyDescent="0.45">
      <c r="A36" s="631"/>
      <c r="B36" s="654" t="s">
        <v>697</v>
      </c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3"/>
    </row>
    <row r="37" spans="1:15" ht="18" customHeight="1" thickBot="1" x14ac:dyDescent="0.45">
      <c r="A37" s="631"/>
      <c r="B37" s="653" t="s">
        <v>495</v>
      </c>
      <c r="C37" s="592">
        <v>0</v>
      </c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3"/>
    </row>
    <row r="38" spans="1:15" ht="18" customHeight="1" thickBot="1" x14ac:dyDescent="0.45">
      <c r="A38" s="631"/>
      <c r="B38" s="653" t="s">
        <v>496</v>
      </c>
      <c r="C38" s="592">
        <v>0</v>
      </c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3"/>
    </row>
    <row r="39" spans="1:15" ht="18" customHeight="1" thickBot="1" x14ac:dyDescent="0.45">
      <c r="A39" s="631"/>
      <c r="B39" s="653" t="s">
        <v>497</v>
      </c>
      <c r="C39" s="592">
        <v>0</v>
      </c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3"/>
    </row>
    <row r="40" spans="1:15" ht="18" customHeight="1" thickBot="1" x14ac:dyDescent="0.45">
      <c r="A40" s="631"/>
      <c r="B40" s="653" t="s">
        <v>498</v>
      </c>
      <c r="C40" s="592">
        <v>1</v>
      </c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3"/>
    </row>
    <row r="41" spans="1:15" ht="18" customHeight="1" thickBot="1" x14ac:dyDescent="0.3">
      <c r="A41" s="631"/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3"/>
    </row>
    <row r="42" spans="1:15" ht="18" customHeight="1" thickBot="1" x14ac:dyDescent="0.45">
      <c r="A42" s="631"/>
      <c r="B42" s="651" t="s">
        <v>699</v>
      </c>
      <c r="C42" s="632"/>
      <c r="D42" s="632"/>
      <c r="E42" s="632"/>
      <c r="F42" s="632"/>
      <c r="G42" s="632"/>
      <c r="H42" s="632"/>
      <c r="J42" s="591">
        <v>1</v>
      </c>
      <c r="K42" s="643" t="s">
        <v>700</v>
      </c>
      <c r="L42" s="632"/>
      <c r="M42" s="632"/>
      <c r="N42" s="632"/>
      <c r="O42" s="633"/>
    </row>
    <row r="43" spans="1:15" ht="18" customHeight="1" x14ac:dyDescent="0.25">
      <c r="A43" s="631"/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3"/>
    </row>
    <row r="44" spans="1:15" ht="18" customHeight="1" x14ac:dyDescent="0.35">
      <c r="A44" s="631"/>
      <c r="B44" s="652" t="s">
        <v>702</v>
      </c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3"/>
    </row>
    <row r="45" spans="1:15" ht="18" customHeight="1" thickBot="1" x14ac:dyDescent="0.3">
      <c r="A45" s="631"/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3"/>
    </row>
    <row r="46" spans="1:15" ht="18" customHeight="1" thickBot="1" x14ac:dyDescent="0.45">
      <c r="A46" s="631"/>
      <c r="B46" s="651" t="s">
        <v>704</v>
      </c>
      <c r="C46" s="632"/>
      <c r="D46" s="632"/>
      <c r="E46" s="632"/>
      <c r="F46" s="632"/>
      <c r="G46" s="632"/>
      <c r="H46" s="632"/>
      <c r="J46" s="628">
        <v>10000</v>
      </c>
      <c r="K46" s="643" t="s">
        <v>703</v>
      </c>
      <c r="L46" s="632"/>
      <c r="M46" s="632"/>
      <c r="N46" s="632"/>
      <c r="O46" s="633"/>
    </row>
    <row r="47" spans="1:15" ht="18" customHeight="1" thickBot="1" x14ac:dyDescent="0.3">
      <c r="A47" s="631"/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3"/>
    </row>
    <row r="48" spans="1:15" ht="18" customHeight="1" thickBot="1" x14ac:dyDescent="0.45">
      <c r="A48" s="631"/>
      <c r="B48" s="651" t="s">
        <v>705</v>
      </c>
      <c r="C48" s="632"/>
      <c r="D48" s="632"/>
      <c r="E48" s="632"/>
      <c r="F48" s="632"/>
      <c r="G48" s="632"/>
      <c r="H48" s="632"/>
      <c r="J48" s="594">
        <v>20</v>
      </c>
      <c r="K48" s="643" t="s">
        <v>703</v>
      </c>
      <c r="L48" s="632"/>
      <c r="M48" s="632"/>
      <c r="N48" s="632"/>
      <c r="O48" s="633"/>
    </row>
    <row r="49" spans="1:15" ht="18" customHeight="1" thickBot="1" x14ac:dyDescent="0.3">
      <c r="A49" s="640"/>
      <c r="B49" s="641"/>
      <c r="C49" s="641"/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79"/>
  <sheetViews>
    <sheetView tabSelected="1" zoomScale="60" zoomScaleNormal="60" workbookViewId="0">
      <pane xSplit="7" ySplit="17" topLeftCell="H18" activePane="bottomRight" state="frozen"/>
      <selection pane="topRight" activeCell="H1" sqref="H1"/>
      <selection pane="bottomLeft" activeCell="A18" sqref="A18"/>
      <selection pane="bottomRight" activeCell="R12" sqref="R12"/>
    </sheetView>
  </sheetViews>
  <sheetFormatPr defaultColWidth="33.88671875" defaultRowHeight="22.8" x14ac:dyDescent="0.4"/>
  <cols>
    <col min="1" max="1" width="60.88671875" style="11" customWidth="1"/>
    <col min="2" max="2" width="22.6640625" style="11" customWidth="1"/>
    <col min="3" max="3" width="1.6640625" style="11" customWidth="1"/>
    <col min="4" max="4" width="19" style="14" customWidth="1"/>
    <col min="5" max="5" width="1.6640625" style="11" customWidth="1"/>
    <col min="6" max="6" width="19" style="14" customWidth="1"/>
    <col min="7" max="7" width="8.88671875" style="157" customWidth="1"/>
    <col min="8" max="8" width="18.6640625" style="11" customWidth="1"/>
    <col min="9" max="9" width="18.21875" style="11" customWidth="1"/>
    <col min="10" max="10" width="19.77734375" style="11" customWidth="1"/>
    <col min="11" max="11" width="17.5546875" style="11" customWidth="1"/>
    <col min="12" max="12" width="18.44140625" style="11" customWidth="1"/>
    <col min="13" max="13" width="13.44140625" style="11" customWidth="1"/>
    <col min="14" max="14" width="17.44140625" style="11" customWidth="1"/>
    <col min="15" max="15" width="15.6640625" style="11" customWidth="1"/>
    <col min="16" max="17" width="17.109375" style="11" customWidth="1"/>
    <col min="18" max="18" width="24.88671875" style="11" customWidth="1"/>
    <col min="19" max="19" width="25.88671875" style="11" customWidth="1"/>
    <col min="20" max="20" width="29.5546875" style="151" customWidth="1"/>
    <col min="21" max="22" width="25.88671875" style="151" customWidth="1"/>
    <col min="23" max="23" width="27.88671875" style="317" customWidth="1"/>
    <col min="24" max="25" width="20.5546875" style="11" customWidth="1"/>
    <col min="26" max="26" width="48.88671875" style="145" customWidth="1"/>
    <col min="27" max="27" width="20.33203125" style="11" customWidth="1"/>
    <col min="28" max="16384" width="33.88671875" style="11"/>
  </cols>
  <sheetData>
    <row r="1" spans="1:41" ht="22.5" customHeight="1" thickBot="1" x14ac:dyDescent="0.45">
      <c r="A1" s="56" t="s">
        <v>68</v>
      </c>
      <c r="B1" s="8" t="s">
        <v>730</v>
      </c>
      <c r="C1" s="9"/>
      <c r="D1" s="144" t="s">
        <v>659</v>
      </c>
      <c r="E1" s="467"/>
      <c r="F1" s="614">
        <f>'KEY DATA'!J14</f>
        <v>0</v>
      </c>
      <c r="G1" s="468"/>
      <c r="H1" s="196">
        <f>$R$4</f>
        <v>0.16437098255280069</v>
      </c>
      <c r="I1" s="53" t="s">
        <v>726</v>
      </c>
      <c r="J1" s="5">
        <v>0.01</v>
      </c>
      <c r="K1" s="10" t="s">
        <v>217</v>
      </c>
      <c r="M1" s="168">
        <v>3500</v>
      </c>
      <c r="N1" s="10" t="s">
        <v>218</v>
      </c>
      <c r="O1" s="10"/>
      <c r="P1" s="197" t="s">
        <v>403</v>
      </c>
      <c r="Q1" s="170"/>
      <c r="R1" s="170"/>
      <c r="S1" s="249" t="s">
        <v>460</v>
      </c>
      <c r="T1" s="10"/>
      <c r="U1" s="13" t="s">
        <v>343</v>
      </c>
      <c r="V1" s="187"/>
      <c r="W1" s="314"/>
      <c r="X1" s="10"/>
      <c r="Z1" s="10"/>
      <c r="AA1" s="13" t="s">
        <v>398</v>
      </c>
      <c r="AB1" s="10"/>
      <c r="AF1" s="249" t="s">
        <v>532</v>
      </c>
      <c r="AG1" s="10"/>
      <c r="AH1" s="197" t="s">
        <v>403</v>
      </c>
      <c r="AI1" s="290">
        <f>2000+2760+2400</f>
        <v>7160</v>
      </c>
      <c r="AJ1" s="74" t="s">
        <v>393</v>
      </c>
      <c r="AK1" s="569"/>
      <c r="AL1" s="572"/>
      <c r="AM1" s="570" t="s">
        <v>682</v>
      </c>
      <c r="AN1" s="573"/>
      <c r="AO1" s="563"/>
    </row>
    <row r="2" spans="1:41" s="151" customFormat="1" ht="17.25" customHeight="1" thickBot="1" x14ac:dyDescent="0.45">
      <c r="A2" s="141" t="s">
        <v>680</v>
      </c>
      <c r="B2" s="8" t="s">
        <v>403</v>
      </c>
      <c r="C2" s="80"/>
      <c r="D2" s="146"/>
      <c r="E2" s="147"/>
      <c r="F2" s="469"/>
      <c r="G2" s="148"/>
      <c r="H2" s="171">
        <v>0</v>
      </c>
      <c r="I2" s="53" t="s">
        <v>346</v>
      </c>
      <c r="J2" s="149"/>
      <c r="K2" s="83" t="s">
        <v>52</v>
      </c>
      <c r="L2" s="10" t="s">
        <v>53</v>
      </c>
      <c r="M2" s="619">
        <f>'KEY DATA'!F5</f>
        <v>15</v>
      </c>
      <c r="N2" s="10" t="s">
        <v>54</v>
      </c>
      <c r="O2" s="25" t="s">
        <v>389</v>
      </c>
      <c r="P2" s="470">
        <f>IF($F$1=1,'SEED-SEEDLING Selection'!J2,'POLLINATOR PLANTING'!AH2)</f>
        <v>84.616783205224706</v>
      </c>
      <c r="Q2" s="10" t="s">
        <v>391</v>
      </c>
      <c r="S2" s="615">
        <f>'KEY DATA'!H16</f>
        <v>0</v>
      </c>
      <c r="T2" s="25" t="s">
        <v>389</v>
      </c>
      <c r="U2" s="83">
        <v>30</v>
      </c>
      <c r="V2" s="10" t="s">
        <v>391</v>
      </c>
      <c r="W2" s="315"/>
      <c r="Z2" s="25" t="s">
        <v>389</v>
      </c>
      <c r="AA2" s="83">
        <v>5</v>
      </c>
      <c r="AB2" s="10" t="s">
        <v>391</v>
      </c>
      <c r="AF2" s="615">
        <f>'KEY DATA'!J42</f>
        <v>1</v>
      </c>
      <c r="AG2" s="25" t="s">
        <v>389</v>
      </c>
      <c r="AH2" s="612">
        <f>'KEY DATA'!C8</f>
        <v>84.616783205224706</v>
      </c>
      <c r="AI2" s="10" t="s">
        <v>391</v>
      </c>
      <c r="AK2" s="569"/>
      <c r="AL2" s="574" t="s">
        <v>389</v>
      </c>
      <c r="AM2" s="575">
        <v>84.616783205224706</v>
      </c>
      <c r="AN2" s="576" t="s">
        <v>391</v>
      </c>
      <c r="AO2" s="564"/>
    </row>
    <row r="3" spans="1:41" s="151" customFormat="1" ht="17.25" customHeight="1" x14ac:dyDescent="0.4">
      <c r="A3" s="611" t="str">
        <f>'KEY DATA'!B5</f>
        <v>UNH Woodman Farm</v>
      </c>
      <c r="B3" s="153"/>
      <c r="C3" s="80"/>
      <c r="D3" s="146"/>
      <c r="E3" s="147"/>
      <c r="F3" s="146"/>
      <c r="G3" s="148"/>
      <c r="H3" s="171">
        <v>0</v>
      </c>
      <c r="I3" s="53" t="s">
        <v>219</v>
      </c>
      <c r="J3" s="149"/>
      <c r="K3" s="83" t="s">
        <v>64</v>
      </c>
      <c r="L3" s="10" t="s">
        <v>63</v>
      </c>
      <c r="M3" s="6">
        <v>3.5</v>
      </c>
      <c r="N3" s="10" t="s">
        <v>65</v>
      </c>
      <c r="O3" s="25" t="s">
        <v>390</v>
      </c>
      <c r="P3" s="471">
        <f>IF($F$1=1,'SEED-SEEDLING Selection'!K2,'POLLINATOR PLANTING'!AH3)</f>
        <v>84.616783205224706</v>
      </c>
      <c r="Q3" s="191" t="s">
        <v>391</v>
      </c>
      <c r="R3" s="13" t="s">
        <v>403</v>
      </c>
      <c r="T3" s="25" t="s">
        <v>390</v>
      </c>
      <c r="U3" s="67">
        <v>10</v>
      </c>
      <c r="V3" s="191" t="s">
        <v>391</v>
      </c>
      <c r="W3" s="13" t="s">
        <v>343</v>
      </c>
      <c r="Z3" s="25" t="s">
        <v>390</v>
      </c>
      <c r="AA3" s="67">
        <v>5</v>
      </c>
      <c r="AB3" s="191" t="s">
        <v>391</v>
      </c>
      <c r="AC3" s="13" t="s">
        <v>398</v>
      </c>
      <c r="AE3" s="13" t="s">
        <v>422</v>
      </c>
      <c r="AG3" s="25" t="s">
        <v>390</v>
      </c>
      <c r="AH3" s="613">
        <f>'KEY DATA'!C9</f>
        <v>84.616783205224706</v>
      </c>
      <c r="AI3" s="191" t="s">
        <v>391</v>
      </c>
      <c r="AJ3" s="13" t="s">
        <v>403</v>
      </c>
      <c r="AK3" s="569"/>
      <c r="AL3" s="577" t="s">
        <v>390</v>
      </c>
      <c r="AM3" s="578">
        <v>84.616783205224706</v>
      </c>
      <c r="AN3" s="579" t="s">
        <v>391</v>
      </c>
      <c r="AO3" s="564"/>
    </row>
    <row r="4" spans="1:41" s="151" customFormat="1" ht="17.25" customHeight="1" thickBot="1" x14ac:dyDescent="0.45">
      <c r="A4" s="147"/>
      <c r="B4" s="153"/>
      <c r="C4" s="80"/>
      <c r="D4" s="13" t="s">
        <v>376</v>
      </c>
      <c r="E4" s="147"/>
      <c r="F4" s="13" t="s">
        <v>416</v>
      </c>
      <c r="G4" s="148"/>
      <c r="H4" s="172">
        <v>0</v>
      </c>
      <c r="I4" s="175" t="s">
        <v>220</v>
      </c>
      <c r="J4" s="149"/>
      <c r="K4" s="271"/>
      <c r="M4" s="146"/>
      <c r="N4" s="150"/>
      <c r="O4" s="25" t="s">
        <v>392</v>
      </c>
      <c r="P4" s="198">
        <f>P2*P3</f>
        <v>7159.9999999999982</v>
      </c>
      <c r="Q4" s="91" t="s">
        <v>393</v>
      </c>
      <c r="R4" s="62">
        <f>$P$4/43560</f>
        <v>0.16437098255280069</v>
      </c>
      <c r="S4" s="10" t="s">
        <v>174</v>
      </c>
      <c r="T4" s="25" t="s">
        <v>392</v>
      </c>
      <c r="U4" s="189">
        <f>U2*U3</f>
        <v>300</v>
      </c>
      <c r="V4" s="190" t="s">
        <v>393</v>
      </c>
      <c r="W4" s="188">
        <f>$U$4/43560</f>
        <v>6.8870523415977963E-3</v>
      </c>
      <c r="X4" s="10" t="s">
        <v>174</v>
      </c>
      <c r="Z4" s="25" t="s">
        <v>392</v>
      </c>
      <c r="AA4" s="189">
        <f>AA2*AA3</f>
        <v>25</v>
      </c>
      <c r="AB4" s="190" t="s">
        <v>393</v>
      </c>
      <c r="AC4" s="188">
        <f>$AA$4/43560</f>
        <v>5.7392102846648299E-4</v>
      </c>
      <c r="AD4" s="10" t="s">
        <v>174</v>
      </c>
      <c r="AE4" s="162">
        <f>(165*10*3)/43560</f>
        <v>0.11363636363636363</v>
      </c>
      <c r="AF4" s="10" t="s">
        <v>174</v>
      </c>
      <c r="AG4" s="25" t="s">
        <v>392</v>
      </c>
      <c r="AH4" s="198">
        <f>AH2*AH3</f>
        <v>7159.9999999999982</v>
      </c>
      <c r="AI4" s="91" t="s">
        <v>393</v>
      </c>
      <c r="AJ4" s="62">
        <f>$P$4/43560</f>
        <v>0.16437098255280069</v>
      </c>
      <c r="AK4" s="571" t="s">
        <v>174</v>
      </c>
      <c r="AL4" s="580" t="s">
        <v>392</v>
      </c>
      <c r="AM4" s="581">
        <f>AM2*AM3</f>
        <v>7159.9999999999982</v>
      </c>
      <c r="AN4" s="582" t="s">
        <v>393</v>
      </c>
      <c r="AO4" s="564"/>
    </row>
    <row r="5" spans="1:41" ht="17.25" customHeight="1" thickBot="1" x14ac:dyDescent="0.45">
      <c r="A5" s="7"/>
      <c r="B5" s="7"/>
      <c r="C5" s="7"/>
      <c r="D5" s="83">
        <v>0</v>
      </c>
      <c r="F5" s="83">
        <v>0</v>
      </c>
      <c r="G5" s="154"/>
      <c r="H5" s="173">
        <f>SUM(H1:H4)</f>
        <v>0.16437098255280069</v>
      </c>
      <c r="I5" s="174" t="s">
        <v>221</v>
      </c>
      <c r="J5" s="269"/>
      <c r="K5" s="610">
        <f>'KEY DATA'!J12</f>
        <v>10</v>
      </c>
      <c r="L5" s="270" t="s">
        <v>222</v>
      </c>
      <c r="O5" s="10"/>
      <c r="P5" s="10"/>
      <c r="Q5" s="170"/>
      <c r="R5" s="65"/>
      <c r="S5" s="64"/>
      <c r="T5" s="186"/>
      <c r="U5" s="186"/>
      <c r="V5" s="186"/>
      <c r="W5" s="316"/>
      <c r="AL5" s="567"/>
      <c r="AM5" s="567"/>
      <c r="AN5" s="567"/>
    </row>
    <row r="6" spans="1:41" ht="18" customHeight="1" x14ac:dyDescent="0.4">
      <c r="A6" s="7"/>
      <c r="B6" s="7"/>
      <c r="C6" s="9"/>
      <c r="D6" s="12" t="str">
        <f>IF(D5=0,"$/acre", "$/lb")</f>
        <v>$/acre</v>
      </c>
      <c r="E6" s="9"/>
      <c r="F6" s="12" t="str">
        <f>IF(F5=0,"$/1000 sq.ft.","$/worker")</f>
        <v>$/1000 sq.ft.</v>
      </c>
      <c r="G6" s="70"/>
      <c r="H6" s="216">
        <f>$H$5*43560</f>
        <v>7159.9999999999982</v>
      </c>
      <c r="I6" s="174" t="s">
        <v>417</v>
      </c>
      <c r="K6" s="272">
        <v>0</v>
      </c>
      <c r="L6" s="10" t="s">
        <v>348</v>
      </c>
      <c r="M6" s="675">
        <v>0</v>
      </c>
      <c r="N6" s="10" t="s">
        <v>713</v>
      </c>
      <c r="O6" s="13" t="s">
        <v>85</v>
      </c>
      <c r="P6" s="13" t="s">
        <v>91</v>
      </c>
      <c r="Q6" s="13" t="s">
        <v>91</v>
      </c>
      <c r="R6" s="63"/>
    </row>
    <row r="7" spans="1:41" ht="7.5" customHeight="1" thickBot="1" x14ac:dyDescent="0.45">
      <c r="C7" s="9"/>
      <c r="E7" s="9"/>
      <c r="G7" s="70"/>
      <c r="R7" s="228"/>
      <c r="S7" s="228"/>
      <c r="T7" s="229"/>
      <c r="U7" s="229"/>
    </row>
    <row r="8" spans="1:41" ht="18" customHeight="1" x14ac:dyDescent="0.4">
      <c r="A8" s="15" t="s">
        <v>184</v>
      </c>
      <c r="B8" s="9">
        <f>SUM(B9:B13)</f>
        <v>0</v>
      </c>
      <c r="C8" s="9"/>
      <c r="D8" s="16">
        <f>SUM(D9:D13)</f>
        <v>0</v>
      </c>
      <c r="E8" s="9"/>
      <c r="F8" s="16">
        <f>SUM(F9:F13)</f>
        <v>0</v>
      </c>
      <c r="G8" s="70"/>
      <c r="H8" s="13" t="s">
        <v>142</v>
      </c>
      <c r="I8" s="13" t="s">
        <v>143</v>
      </c>
      <c r="J8" s="13" t="s">
        <v>142</v>
      </c>
      <c r="K8" s="18" t="s">
        <v>143</v>
      </c>
      <c r="L8" s="13" t="s">
        <v>141</v>
      </c>
      <c r="M8" s="18" t="s">
        <v>147</v>
      </c>
      <c r="N8" s="18" t="s">
        <v>71</v>
      </c>
      <c r="O8" s="13" t="s">
        <v>407</v>
      </c>
      <c r="P8" s="13" t="s">
        <v>73</v>
      </c>
      <c r="Q8" s="226" t="s">
        <v>74</v>
      </c>
      <c r="R8" s="230" t="s">
        <v>431</v>
      </c>
      <c r="S8" s="231" t="s">
        <v>428</v>
      </c>
      <c r="T8" s="232" t="s">
        <v>174</v>
      </c>
      <c r="U8" s="233" t="s">
        <v>430</v>
      </c>
      <c r="V8" s="231" t="s">
        <v>681</v>
      </c>
      <c r="W8" s="230" t="s">
        <v>466</v>
      </c>
      <c r="X8" s="231" t="s">
        <v>428</v>
      </c>
      <c r="Y8" s="232" t="s">
        <v>174</v>
      </c>
      <c r="Z8" s="585" t="s">
        <v>430</v>
      </c>
      <c r="AA8" s="249" t="s">
        <v>681</v>
      </c>
      <c r="AB8" s="64"/>
      <c r="AC8" s="230" t="s">
        <v>494</v>
      </c>
      <c r="AD8" s="231" t="s">
        <v>428</v>
      </c>
      <c r="AE8" s="232" t="s">
        <v>174</v>
      </c>
      <c r="AF8" s="233" t="s">
        <v>430</v>
      </c>
      <c r="AG8" s="249" t="s">
        <v>681</v>
      </c>
      <c r="AH8" s="563"/>
    </row>
    <row r="9" spans="1:41" ht="18" customHeight="1" x14ac:dyDescent="0.4">
      <c r="A9" s="1" t="s">
        <v>223</v>
      </c>
      <c r="B9" s="19">
        <f>H9*L9</f>
        <v>0</v>
      </c>
      <c r="C9" s="9"/>
      <c r="D9" s="20">
        <f>IF($D$5=0,B9/$H$5,B9/$J$14)</f>
        <v>0</v>
      </c>
      <c r="E9" s="9"/>
      <c r="F9" s="81">
        <f>IF($F$5=0,(B9/($H$6/1000)),B9/$M$416)</f>
        <v>0</v>
      </c>
      <c r="G9" s="70"/>
      <c r="H9" s="4">
        <v>0</v>
      </c>
      <c r="I9" s="83" t="s">
        <v>51</v>
      </c>
      <c r="J9" s="22">
        <f>H9</f>
        <v>0</v>
      </c>
      <c r="K9" s="23" t="s">
        <v>144</v>
      </c>
      <c r="L9" s="6">
        <v>0</v>
      </c>
      <c r="M9" s="10" t="str">
        <f>CONCATENATE("/ ",I9)</f>
        <v>/ ?</v>
      </c>
      <c r="N9" s="22">
        <f>H9/$H$5</f>
        <v>0</v>
      </c>
      <c r="O9" s="83">
        <v>0</v>
      </c>
      <c r="P9" s="83" t="s">
        <v>75</v>
      </c>
      <c r="Q9" s="227" t="s">
        <v>75</v>
      </c>
      <c r="R9" s="234" t="s">
        <v>409</v>
      </c>
      <c r="S9" s="621">
        <f>'KEY DATA'!C23</f>
        <v>0.204841713221601</v>
      </c>
      <c r="T9" s="224">
        <f>$H$1*S9</f>
        <v>3.3670033670033579E-2</v>
      </c>
      <c r="U9" s="235">
        <f>$P$4*S9</f>
        <v>1466.6666666666626</v>
      </c>
      <c r="V9" s="273">
        <f>((2000+2400)*(1/3))/$AI$1</f>
        <v>0.20484171322160147</v>
      </c>
      <c r="W9" s="234" t="s">
        <v>467</v>
      </c>
      <c r="X9" s="621">
        <f>'KEY DATA'!C34</f>
        <v>0.111731843575419</v>
      </c>
      <c r="Y9" s="224">
        <f>$H$1*X9</f>
        <v>1.8365472910927452E-2</v>
      </c>
      <c r="Z9" s="586">
        <f>$P$4*X9</f>
        <v>799.99999999999989</v>
      </c>
      <c r="AA9" s="626">
        <f>((1/3)*2400)/$AI$1</f>
        <v>0.11173184357541899</v>
      </c>
      <c r="AB9" s="64"/>
      <c r="AC9" s="234" t="s">
        <v>495</v>
      </c>
      <c r="AD9" s="617">
        <f>'KEY DATA'!C37</f>
        <v>0</v>
      </c>
      <c r="AE9" s="224">
        <f>$H$1*AD9</f>
        <v>0</v>
      </c>
      <c r="AF9" s="235">
        <f>$P$4*AD9</f>
        <v>0</v>
      </c>
      <c r="AG9" s="565">
        <v>0</v>
      </c>
      <c r="AH9" s="563"/>
    </row>
    <row r="10" spans="1:41" ht="18" customHeight="1" x14ac:dyDescent="0.4">
      <c r="A10" s="1" t="s">
        <v>224</v>
      </c>
      <c r="B10" s="19">
        <f>H10*L10</f>
        <v>0</v>
      </c>
      <c r="C10" s="9"/>
      <c r="D10" s="20">
        <f>IF($D$5=0,B10/$H$5,B10/$J$14)</f>
        <v>0</v>
      </c>
      <c r="E10" s="9"/>
      <c r="F10" s="81">
        <f>IF($F$5=0,(B10/($H$6/1000)),B10/$M$416)</f>
        <v>0</v>
      </c>
      <c r="G10" s="70"/>
      <c r="H10" s="4">
        <v>0</v>
      </c>
      <c r="I10" s="83" t="s">
        <v>51</v>
      </c>
      <c r="J10" s="22">
        <f>H10</f>
        <v>0</v>
      </c>
      <c r="K10" s="23" t="s">
        <v>144</v>
      </c>
      <c r="L10" s="6">
        <v>0</v>
      </c>
      <c r="M10" s="10" t="str">
        <f>CONCATENATE("/ ",I10)</f>
        <v>/ ?</v>
      </c>
      <c r="N10" s="22">
        <f>H10/$H$5</f>
        <v>0</v>
      </c>
      <c r="O10" s="83">
        <v>0</v>
      </c>
      <c r="P10" s="83" t="s">
        <v>75</v>
      </c>
      <c r="Q10" s="227" t="s">
        <v>75</v>
      </c>
      <c r="R10" s="234" t="s">
        <v>408</v>
      </c>
      <c r="S10" s="621">
        <f>'KEY DATA'!C24</f>
        <v>0.204841713221601</v>
      </c>
      <c r="T10" s="224">
        <f t="shared" ref="T10:T11" si="0">$H$1*S10</f>
        <v>3.3670033670033579E-2</v>
      </c>
      <c r="U10" s="235">
        <f t="shared" ref="U10:U11" si="1">$P$4*S10</f>
        <v>1466.6666666666626</v>
      </c>
      <c r="V10" s="273">
        <f>((2000+2400)*(1/3))/$AI$1</f>
        <v>0.20484171322160147</v>
      </c>
      <c r="W10" s="236" t="s">
        <v>468</v>
      </c>
      <c r="X10" s="625">
        <f>1-$X$9</f>
        <v>0.88826815642458101</v>
      </c>
      <c r="Y10" s="225">
        <f t="shared" ref="Y10" si="2">$H$1*X10</f>
        <v>0.14600550964187325</v>
      </c>
      <c r="Z10" s="587">
        <f t="shared" ref="Z10" si="3">$P$4*X10</f>
        <v>6359.9999999999982</v>
      </c>
      <c r="AA10" s="627">
        <f>1-$AA$9</f>
        <v>0.88826815642458101</v>
      </c>
      <c r="AB10" s="64"/>
      <c r="AC10" s="234" t="s">
        <v>496</v>
      </c>
      <c r="AD10" s="617">
        <f>'KEY DATA'!C38</f>
        <v>0</v>
      </c>
      <c r="AE10" s="224">
        <f>$H$1*AD10</f>
        <v>0</v>
      </c>
      <c r="AF10" s="235">
        <f>$P$4*AD10</f>
        <v>0</v>
      </c>
      <c r="AG10" s="565">
        <v>0</v>
      </c>
      <c r="AH10" s="563"/>
    </row>
    <row r="11" spans="1:41" ht="18" customHeight="1" x14ac:dyDescent="0.4">
      <c r="A11" s="1" t="s">
        <v>225</v>
      </c>
      <c r="B11" s="19">
        <f>H11*L11</f>
        <v>0</v>
      </c>
      <c r="C11" s="9"/>
      <c r="D11" s="20">
        <f>IF($D$5=0,B11/$H$5,B11/$J$14)</f>
        <v>0</v>
      </c>
      <c r="E11" s="9"/>
      <c r="F11" s="81">
        <f>IF($F$5=0,(B11/($H$6/1000)),B11/$M$416)</f>
        <v>0</v>
      </c>
      <c r="G11" s="70"/>
      <c r="H11" s="4">
        <v>0</v>
      </c>
      <c r="I11" s="83" t="s">
        <v>51</v>
      </c>
      <c r="J11" s="22">
        <f>H11</f>
        <v>0</v>
      </c>
      <c r="K11" s="23" t="s">
        <v>144</v>
      </c>
      <c r="L11" s="6">
        <v>0</v>
      </c>
      <c r="M11" s="10" t="str">
        <f>CONCATENATE("/ ",I11)</f>
        <v>/ ?</v>
      </c>
      <c r="N11" s="22">
        <f>H11/$H$5</f>
        <v>0</v>
      </c>
      <c r="O11" s="83">
        <v>0</v>
      </c>
      <c r="P11" s="83" t="s">
        <v>75</v>
      </c>
      <c r="Q11" s="227" t="s">
        <v>75</v>
      </c>
      <c r="R11" s="236" t="s">
        <v>753</v>
      </c>
      <c r="S11" s="622">
        <f>'KEY DATA'!C25</f>
        <v>0.59031657355679701</v>
      </c>
      <c r="T11" s="225">
        <f t="shared" si="0"/>
        <v>9.7030915212733368E-2</v>
      </c>
      <c r="U11" s="237">
        <f t="shared" si="1"/>
        <v>4226.6666666666652</v>
      </c>
      <c r="V11" s="274">
        <f>(2760+(2000+2400)*(1/3))/$AI$1</f>
        <v>0.5903165735567969</v>
      </c>
      <c r="W11" s="253" t="s">
        <v>429</v>
      </c>
      <c r="X11" s="254">
        <f>SUM(X9:X10)</f>
        <v>1</v>
      </c>
      <c r="Y11" s="255">
        <f>SUM(Y9:Y10)</f>
        <v>0.16437098255280069</v>
      </c>
      <c r="Z11" s="588">
        <f>SUM(Z9:Z10)</f>
        <v>7159.9999999999982</v>
      </c>
      <c r="AA11" s="584">
        <f>SUM(AA9:AA10)</f>
        <v>1</v>
      </c>
      <c r="AB11" s="64"/>
      <c r="AC11" s="234" t="s">
        <v>497</v>
      </c>
      <c r="AD11" s="617">
        <f>'KEY DATA'!C39</f>
        <v>0</v>
      </c>
      <c r="AE11" s="224">
        <f>$H$1*AD11</f>
        <v>0</v>
      </c>
      <c r="AF11" s="235">
        <f>$P$4*AD11</f>
        <v>0</v>
      </c>
      <c r="AG11" s="565">
        <v>0</v>
      </c>
      <c r="AH11" s="563"/>
    </row>
    <row r="12" spans="1:41" ht="18" customHeight="1" thickBot="1" x14ac:dyDescent="0.45">
      <c r="A12" s="1" t="s">
        <v>226</v>
      </c>
      <c r="B12" s="19">
        <f>H12*L12</f>
        <v>0</v>
      </c>
      <c r="C12" s="9"/>
      <c r="D12" s="20">
        <f>IF($D$5=0,B12/$H$5,B12/$J$14)</f>
        <v>0</v>
      </c>
      <c r="E12" s="9"/>
      <c r="F12" s="81">
        <f>IF($F$5=0,(B12/($H$6/1000)),B12/$M$416)</f>
        <v>0</v>
      </c>
      <c r="G12" s="70"/>
      <c r="H12" s="4">
        <v>0</v>
      </c>
      <c r="I12" s="83" t="s">
        <v>51</v>
      </c>
      <c r="J12" s="22">
        <f>H12</f>
        <v>0</v>
      </c>
      <c r="K12" s="23" t="s">
        <v>144</v>
      </c>
      <c r="L12" s="6">
        <v>0</v>
      </c>
      <c r="M12" s="10" t="str">
        <f>CONCATENATE("/ ",I12)</f>
        <v>/ ?</v>
      </c>
      <c r="N12" s="22">
        <f>H12/$H$5</f>
        <v>0</v>
      </c>
      <c r="O12" s="83">
        <v>0</v>
      </c>
      <c r="P12" s="83" t="s">
        <v>75</v>
      </c>
      <c r="Q12" s="227" t="s">
        <v>75</v>
      </c>
      <c r="R12" s="238" t="s">
        <v>429</v>
      </c>
      <c r="S12" s="239">
        <f>SUM(S9:S11)</f>
        <v>0.999999999999999</v>
      </c>
      <c r="T12" s="240">
        <f t="shared" ref="T12:U12" si="4">SUM(T9:T11)</f>
        <v>0.16437098255280053</v>
      </c>
      <c r="U12" s="241">
        <f t="shared" si="4"/>
        <v>7159.9999999999909</v>
      </c>
      <c r="V12" s="239">
        <f>SUM(V9:V11)</f>
        <v>0.99999999999999978</v>
      </c>
      <c r="W12" s="259"/>
      <c r="X12" s="65"/>
      <c r="Y12" s="257"/>
      <c r="Z12" s="65"/>
      <c r="AA12" s="589"/>
      <c r="AB12" s="64"/>
      <c r="AC12" s="247" t="s">
        <v>498</v>
      </c>
      <c r="AD12" s="623">
        <f>'KEY DATA'!C40</f>
        <v>1</v>
      </c>
      <c r="AE12" s="240">
        <f>$H$1*AD12</f>
        <v>0.16437098255280069</v>
      </c>
      <c r="AF12" s="241">
        <f>$P$4*AD12</f>
        <v>7159.9999999999982</v>
      </c>
      <c r="AG12" s="568">
        <v>1</v>
      </c>
      <c r="AH12" s="563"/>
    </row>
    <row r="13" spans="1:41" ht="18" customHeight="1" thickBot="1" x14ac:dyDescent="0.45">
      <c r="A13" s="1" t="s">
        <v>164</v>
      </c>
      <c r="B13" s="19">
        <f>H13*L13</f>
        <v>0</v>
      </c>
      <c r="C13" s="9"/>
      <c r="D13" s="20">
        <f>IF($D$5=0,B13/$H$5,B13/$J$14)</f>
        <v>0</v>
      </c>
      <c r="E13" s="9"/>
      <c r="F13" s="81">
        <f>IF($F$5=0,(B13/($H$6/1000)),B13/$M$416)</f>
        <v>0</v>
      </c>
      <c r="G13" s="70"/>
      <c r="H13" s="4">
        <v>0</v>
      </c>
      <c r="I13" s="83" t="s">
        <v>51</v>
      </c>
      <c r="J13" s="57">
        <f>H13</f>
        <v>0</v>
      </c>
      <c r="K13" s="58" t="s">
        <v>144</v>
      </c>
      <c r="L13" s="79">
        <v>0</v>
      </c>
      <c r="M13" s="10" t="str">
        <f>CONCATENATE("/ ",I13)</f>
        <v>/ ?</v>
      </c>
      <c r="N13" s="57">
        <f>H13/$H$5</f>
        <v>0</v>
      </c>
      <c r="O13" s="83">
        <v>0</v>
      </c>
      <c r="P13" s="83" t="s">
        <v>75</v>
      </c>
      <c r="Q13" s="83" t="s">
        <v>75</v>
      </c>
      <c r="R13" s="63"/>
      <c r="S13" s="63"/>
      <c r="T13" s="189"/>
      <c r="U13" s="189"/>
      <c r="V13" s="258"/>
      <c r="W13" s="260"/>
      <c r="X13" s="63"/>
      <c r="Y13" s="52" t="s">
        <v>470</v>
      </c>
      <c r="Z13" s="624">
        <f>'KEY DATA'!E34</f>
        <v>1</v>
      </c>
      <c r="AA13" s="589"/>
      <c r="AB13" s="64"/>
    </row>
    <row r="14" spans="1:41" ht="18" customHeight="1" thickBot="1" x14ac:dyDescent="0.45">
      <c r="A14" s="24"/>
      <c r="B14" s="19"/>
      <c r="C14" s="9"/>
      <c r="D14" s="21"/>
      <c r="E14" s="9"/>
      <c r="F14" s="21"/>
      <c r="G14" s="70"/>
      <c r="H14" s="10"/>
      <c r="I14" s="10"/>
      <c r="J14" s="68">
        <f>SUM(J9:J13)</f>
        <v>0</v>
      </c>
      <c r="K14" s="69" t="s">
        <v>144</v>
      </c>
      <c r="L14" s="176">
        <f>SUM(L9:L13)</f>
        <v>0</v>
      </c>
      <c r="M14" s="25"/>
      <c r="N14" s="77">
        <f>SUM(N9:N13)</f>
        <v>0</v>
      </c>
      <c r="O14" s="22">
        <f>0.03125*43560</f>
        <v>1361.25</v>
      </c>
      <c r="P14" s="22"/>
      <c r="Q14" s="264"/>
      <c r="R14" s="230" t="s">
        <v>452</v>
      </c>
      <c r="S14" s="231" t="s">
        <v>454</v>
      </c>
      <c r="T14" s="232" t="s">
        <v>174</v>
      </c>
      <c r="U14" s="233" t="s">
        <v>430</v>
      </c>
      <c r="V14" s="249" t="s">
        <v>681</v>
      </c>
      <c r="W14" s="561"/>
      <c r="X14" s="261"/>
      <c r="Y14" s="262"/>
      <c r="Z14" s="583"/>
      <c r="AA14" s="590"/>
      <c r="AB14" s="64"/>
      <c r="AC14" s="230" t="s">
        <v>484</v>
      </c>
      <c r="AD14" s="231" t="s">
        <v>428</v>
      </c>
      <c r="AE14" s="232" t="s">
        <v>174</v>
      </c>
      <c r="AF14" s="233" t="s">
        <v>430</v>
      </c>
      <c r="AG14" s="249" t="s">
        <v>681</v>
      </c>
      <c r="AH14" s="563"/>
    </row>
    <row r="15" spans="1:41" ht="18" customHeight="1" x14ac:dyDescent="0.4">
      <c r="A15" s="24"/>
      <c r="B15" s="19"/>
      <c r="C15" s="9"/>
      <c r="D15" s="21"/>
      <c r="E15" s="9"/>
      <c r="F15" s="21"/>
      <c r="G15" s="70"/>
      <c r="H15" s="10"/>
      <c r="I15" s="10"/>
      <c r="J15" s="155"/>
      <c r="K15" s="156"/>
      <c r="L15" s="25"/>
      <c r="M15" s="25"/>
      <c r="O15" s="22"/>
      <c r="P15" s="22"/>
      <c r="Q15" s="264"/>
      <c r="R15" s="234" t="s">
        <v>453</v>
      </c>
      <c r="S15" s="617">
        <f>'KEY DATA'!C19</f>
        <v>0.36033519553072624</v>
      </c>
      <c r="T15" s="224">
        <f>$H$1*S15</f>
        <v>5.9228650137741028E-2</v>
      </c>
      <c r="U15" s="235">
        <f>$P$4*S15</f>
        <v>2579.9999999999991</v>
      </c>
      <c r="V15" s="565">
        <f>((0.5)*(2760+2400))/$AI$1</f>
        <v>0.36033519553072624</v>
      </c>
      <c r="W15" s="562"/>
      <c r="X15" s="63"/>
      <c r="Y15" s="251"/>
      <c r="Z15" s="63"/>
      <c r="AA15" s="567"/>
      <c r="AC15" s="234" t="s">
        <v>485</v>
      </c>
      <c r="AD15" s="617">
        <f>'KEY DATA'!C29</f>
        <v>0</v>
      </c>
      <c r="AE15" s="224">
        <f>$T$10*AD15</f>
        <v>0</v>
      </c>
      <c r="AF15" s="235">
        <f>$U$10*AD15</f>
        <v>0</v>
      </c>
      <c r="AG15" s="565">
        <v>0</v>
      </c>
      <c r="AH15" s="563"/>
    </row>
    <row r="16" spans="1:41" ht="18" customHeight="1" x14ac:dyDescent="0.4">
      <c r="B16" s="28"/>
      <c r="C16" s="9"/>
      <c r="D16" s="17"/>
      <c r="E16" s="9"/>
      <c r="F16" s="17"/>
      <c r="G16" s="70"/>
      <c r="H16" s="13" t="s">
        <v>191</v>
      </c>
      <c r="I16" s="13" t="s">
        <v>85</v>
      </c>
      <c r="O16" s="13" t="s">
        <v>76</v>
      </c>
      <c r="P16" s="13" t="s">
        <v>72</v>
      </c>
      <c r="Q16" s="226" t="s">
        <v>72</v>
      </c>
      <c r="R16" s="263" t="s">
        <v>351</v>
      </c>
      <c r="S16" s="617">
        <f>'KEY DATA'!C20</f>
        <v>0.63966480446927376</v>
      </c>
      <c r="T16" s="255">
        <f t="shared" ref="T16" si="5">$H$1*S16</f>
        <v>0.10514233241505966</v>
      </c>
      <c r="U16" s="256">
        <f t="shared" ref="U16" si="6">$P$4*S16</f>
        <v>4579.9999999999991</v>
      </c>
      <c r="V16" s="565">
        <f>(2000+(0.5*(2760+2400)))/$AI$1</f>
        <v>0.63966480446927376</v>
      </c>
      <c r="W16" s="563"/>
      <c r="Y16" s="145"/>
      <c r="Z16" s="11"/>
      <c r="AC16" s="234" t="s">
        <v>486</v>
      </c>
      <c r="AD16" s="617">
        <f>'KEY DATA'!C30</f>
        <v>0</v>
      </c>
      <c r="AE16" s="224">
        <f>$T$10*AD16</f>
        <v>0</v>
      </c>
      <c r="AF16" s="235">
        <f>$U$10*AD16</f>
        <v>0</v>
      </c>
      <c r="AG16" s="565">
        <v>0</v>
      </c>
      <c r="AH16" s="563"/>
    </row>
    <row r="17" spans="1:34" ht="18" customHeight="1" thickBot="1" x14ac:dyDescent="0.45">
      <c r="A17" s="15" t="s">
        <v>195</v>
      </c>
      <c r="C17" s="9"/>
      <c r="D17" s="17"/>
      <c r="E17" s="9"/>
      <c r="F17" s="17"/>
      <c r="G17" s="70"/>
      <c r="H17" s="13" t="s">
        <v>142</v>
      </c>
      <c r="I17" s="13" t="s">
        <v>142</v>
      </c>
      <c r="J17" s="13" t="s">
        <v>143</v>
      </c>
      <c r="K17" s="13" t="s">
        <v>172</v>
      </c>
      <c r="L17" s="18" t="s">
        <v>147</v>
      </c>
      <c r="M17" s="13" t="s">
        <v>165</v>
      </c>
      <c r="N17" s="13" t="s">
        <v>82</v>
      </c>
      <c r="O17" s="13" t="s">
        <v>77</v>
      </c>
      <c r="P17" s="13" t="s">
        <v>73</v>
      </c>
      <c r="Q17" s="226" t="s">
        <v>74</v>
      </c>
      <c r="R17" s="265"/>
      <c r="S17" s="266"/>
      <c r="T17" s="267" t="s">
        <v>493</v>
      </c>
      <c r="U17" s="268">
        <v>1</v>
      </c>
      <c r="V17" s="566">
        <f>SUM(V15:V16)</f>
        <v>1</v>
      </c>
      <c r="W17" s="564"/>
      <c r="AC17" s="247" t="s">
        <v>487</v>
      </c>
      <c r="AD17" s="623">
        <f>'KEY DATA'!C31</f>
        <v>1</v>
      </c>
      <c r="AE17" s="240">
        <f>$T$10*AD17</f>
        <v>3.3670033670033579E-2</v>
      </c>
      <c r="AF17" s="241">
        <f>$U$10*AD17</f>
        <v>1466.6666666666626</v>
      </c>
      <c r="AG17" s="568">
        <v>1</v>
      </c>
      <c r="AH17" s="563"/>
    </row>
    <row r="18" spans="1:34" ht="18" customHeight="1" x14ac:dyDescent="0.4">
      <c r="A18" s="15" t="s">
        <v>123</v>
      </c>
      <c r="B18" s="26"/>
      <c r="C18" s="9"/>
      <c r="D18" s="17"/>
      <c r="E18" s="9"/>
      <c r="F18" s="17"/>
      <c r="G18" s="70"/>
      <c r="R18" s="63"/>
      <c r="S18" s="63"/>
      <c r="T18" s="248"/>
      <c r="U18" s="248"/>
    </row>
    <row r="19" spans="1:34" ht="18" customHeight="1" x14ac:dyDescent="0.4">
      <c r="A19" s="27" t="s">
        <v>743</v>
      </c>
      <c r="B19" s="28"/>
      <c r="C19" s="9"/>
      <c r="D19" s="17"/>
      <c r="E19" s="9"/>
      <c r="F19" s="17"/>
      <c r="G19" s="70"/>
      <c r="H19" s="13" t="s">
        <v>85</v>
      </c>
      <c r="J19" s="13" t="s">
        <v>38</v>
      </c>
      <c r="O19" s="13" t="s">
        <v>76</v>
      </c>
      <c r="P19" s="13" t="s">
        <v>72</v>
      </c>
      <c r="Q19" s="13" t="s">
        <v>72</v>
      </c>
    </row>
    <row r="20" spans="1:34" ht="18" customHeight="1" x14ac:dyDescent="0.4">
      <c r="A20" s="27" t="s">
        <v>227</v>
      </c>
      <c r="C20" s="9"/>
      <c r="D20" s="17"/>
      <c r="E20" s="9"/>
      <c r="F20" s="17"/>
      <c r="G20" s="70"/>
      <c r="H20" s="13" t="s">
        <v>142</v>
      </c>
      <c r="I20" s="13" t="s">
        <v>143</v>
      </c>
      <c r="J20" s="13" t="s">
        <v>135</v>
      </c>
      <c r="K20" s="13" t="s">
        <v>172</v>
      </c>
      <c r="L20" s="18" t="s">
        <v>147</v>
      </c>
      <c r="M20" s="13" t="s">
        <v>165</v>
      </c>
      <c r="N20" s="13" t="s">
        <v>82</v>
      </c>
      <c r="O20" s="13" t="s">
        <v>77</v>
      </c>
      <c r="P20" s="13" t="s">
        <v>73</v>
      </c>
      <c r="Q20" s="13" t="s">
        <v>74</v>
      </c>
      <c r="R20" s="13" t="s">
        <v>242</v>
      </c>
      <c r="S20" s="13" t="s">
        <v>342</v>
      </c>
      <c r="T20" s="187"/>
      <c r="U20" s="187"/>
      <c r="V20" s="187"/>
      <c r="W20" s="314"/>
    </row>
    <row r="21" spans="1:34" ht="18" customHeight="1" x14ac:dyDescent="0.4">
      <c r="A21" s="2" t="s">
        <v>228</v>
      </c>
      <c r="B21" s="19">
        <f t="shared" ref="B21:B26" si="7">((H21*K21)/O21)*N21</f>
        <v>0</v>
      </c>
      <c r="C21" s="9"/>
      <c r="D21" s="20">
        <f t="shared" ref="D21:D26" si="8">IF($D$5=0,B21/$H$5,B21/$J$14)</f>
        <v>0</v>
      </c>
      <c r="E21" s="9"/>
      <c r="F21" s="81">
        <f t="shared" ref="F21:F26" si="9">IF($F$5=0,(B21/($H$6/1000)),B21/$M$416)</f>
        <v>0</v>
      </c>
      <c r="G21" s="71">
        <f t="shared" ref="G21:G26" si="10">B21/$B$313</f>
        <v>0</v>
      </c>
      <c r="H21" s="83">
        <v>0</v>
      </c>
      <c r="I21" s="83" t="s">
        <v>145</v>
      </c>
      <c r="J21" s="83">
        <v>0</v>
      </c>
      <c r="K21" s="6">
        <v>0</v>
      </c>
      <c r="L21" s="10" t="str">
        <f t="shared" ref="L21:L26" si="11">CONCATENATE("/ ",I21)</f>
        <v>/ ton</v>
      </c>
      <c r="M21" s="29">
        <f t="shared" ref="M21:M26" si="12">H21/$H$5</f>
        <v>0</v>
      </c>
      <c r="N21" s="83">
        <v>0</v>
      </c>
      <c r="O21" s="83">
        <v>1</v>
      </c>
      <c r="P21" s="83" t="s">
        <v>75</v>
      </c>
      <c r="Q21" s="83" t="s">
        <v>75</v>
      </c>
      <c r="R21" s="75">
        <f t="shared" ref="R21:R26" si="13">J21*K21</f>
        <v>0</v>
      </c>
      <c r="S21" s="83">
        <v>0</v>
      </c>
      <c r="T21" s="29"/>
      <c r="U21" s="29"/>
      <c r="V21" s="29"/>
      <c r="W21" s="318"/>
    </row>
    <row r="22" spans="1:34" ht="18" customHeight="1" x14ac:dyDescent="0.4">
      <c r="A22" s="27" t="s">
        <v>47</v>
      </c>
      <c r="B22" s="19">
        <f t="shared" si="7"/>
        <v>0</v>
      </c>
      <c r="C22" s="9"/>
      <c r="D22" s="20">
        <f t="shared" si="8"/>
        <v>0</v>
      </c>
      <c r="E22" s="9"/>
      <c r="F22" s="81">
        <f t="shared" si="9"/>
        <v>0</v>
      </c>
      <c r="G22" s="71">
        <f t="shared" si="10"/>
        <v>0</v>
      </c>
      <c r="H22" s="83">
        <v>0</v>
      </c>
      <c r="I22" s="83" t="s">
        <v>144</v>
      </c>
      <c r="J22" s="83">
        <v>0</v>
      </c>
      <c r="K22" s="6">
        <v>0</v>
      </c>
      <c r="L22" s="10" t="str">
        <f t="shared" si="11"/>
        <v>/ lb</v>
      </c>
      <c r="M22" s="29">
        <f t="shared" si="12"/>
        <v>0</v>
      </c>
      <c r="N22" s="83">
        <v>0</v>
      </c>
      <c r="O22" s="83">
        <v>1</v>
      </c>
      <c r="P22" s="83" t="s">
        <v>75</v>
      </c>
      <c r="Q22" s="83" t="s">
        <v>75</v>
      </c>
      <c r="R22" s="75">
        <f t="shared" si="13"/>
        <v>0</v>
      </c>
      <c r="S22" s="83">
        <v>0</v>
      </c>
      <c r="T22" s="29"/>
      <c r="U22" s="29"/>
      <c r="V22" s="29"/>
      <c r="W22" s="318"/>
    </row>
    <row r="23" spans="1:34" ht="18" customHeight="1" x14ac:dyDescent="0.4">
      <c r="A23" s="27" t="s">
        <v>48</v>
      </c>
      <c r="B23" s="19">
        <f t="shared" si="7"/>
        <v>0</v>
      </c>
      <c r="C23" s="9"/>
      <c r="D23" s="20">
        <f t="shared" si="8"/>
        <v>0</v>
      </c>
      <c r="E23" s="9"/>
      <c r="F23" s="81">
        <f t="shared" si="9"/>
        <v>0</v>
      </c>
      <c r="G23" s="71">
        <f t="shared" si="10"/>
        <v>0</v>
      </c>
      <c r="H23" s="83">
        <v>0</v>
      </c>
      <c r="I23" s="83" t="s">
        <v>144</v>
      </c>
      <c r="J23" s="83">
        <v>0</v>
      </c>
      <c r="K23" s="6">
        <v>0</v>
      </c>
      <c r="L23" s="10" t="str">
        <f t="shared" si="11"/>
        <v>/ lb</v>
      </c>
      <c r="M23" s="29">
        <f t="shared" si="12"/>
        <v>0</v>
      </c>
      <c r="N23" s="83">
        <v>0</v>
      </c>
      <c r="O23" s="83">
        <v>1</v>
      </c>
      <c r="P23" s="83" t="s">
        <v>75</v>
      </c>
      <c r="Q23" s="83" t="s">
        <v>75</v>
      </c>
      <c r="R23" s="75">
        <f t="shared" si="13"/>
        <v>0</v>
      </c>
      <c r="S23" s="83">
        <v>0</v>
      </c>
      <c r="T23" s="29"/>
      <c r="U23" s="29"/>
      <c r="V23" s="29"/>
      <c r="W23" s="318"/>
    </row>
    <row r="24" spans="1:34" ht="18" customHeight="1" x14ac:dyDescent="0.4">
      <c r="A24" s="27" t="s">
        <v>49</v>
      </c>
      <c r="B24" s="19">
        <f t="shared" si="7"/>
        <v>0</v>
      </c>
      <c r="C24" s="9"/>
      <c r="D24" s="20">
        <f t="shared" si="8"/>
        <v>0</v>
      </c>
      <c r="E24" s="9"/>
      <c r="F24" s="81">
        <f t="shared" si="9"/>
        <v>0</v>
      </c>
      <c r="G24" s="71">
        <f t="shared" si="10"/>
        <v>0</v>
      </c>
      <c r="H24" s="83">
        <v>0</v>
      </c>
      <c r="I24" s="83" t="s">
        <v>144</v>
      </c>
      <c r="J24" s="83">
        <v>0</v>
      </c>
      <c r="K24" s="6">
        <v>0</v>
      </c>
      <c r="L24" s="10" t="str">
        <f t="shared" si="11"/>
        <v>/ lb</v>
      </c>
      <c r="M24" s="29">
        <f t="shared" si="12"/>
        <v>0</v>
      </c>
      <c r="N24" s="83">
        <v>0</v>
      </c>
      <c r="O24" s="83">
        <v>1</v>
      </c>
      <c r="P24" s="83" t="s">
        <v>75</v>
      </c>
      <c r="Q24" s="83" t="s">
        <v>75</v>
      </c>
      <c r="R24" s="75">
        <f t="shared" si="13"/>
        <v>0</v>
      </c>
      <c r="S24" s="83">
        <v>0</v>
      </c>
      <c r="T24" s="29"/>
      <c r="U24" s="29"/>
      <c r="V24" s="29"/>
      <c r="W24" s="318"/>
    </row>
    <row r="25" spans="1:34" ht="18" customHeight="1" x14ac:dyDescent="0.4">
      <c r="A25" s="27" t="s">
        <v>40</v>
      </c>
      <c r="B25" s="19">
        <f t="shared" si="7"/>
        <v>0</v>
      </c>
      <c r="C25" s="9"/>
      <c r="D25" s="20">
        <f t="shared" si="8"/>
        <v>0</v>
      </c>
      <c r="E25" s="9"/>
      <c r="F25" s="81">
        <f t="shared" si="9"/>
        <v>0</v>
      </c>
      <c r="G25" s="71">
        <f t="shared" si="10"/>
        <v>0</v>
      </c>
      <c r="H25" s="83">
        <v>0</v>
      </c>
      <c r="I25" s="83" t="s">
        <v>145</v>
      </c>
      <c r="J25" s="83">
        <v>0</v>
      </c>
      <c r="K25" s="6">
        <v>0</v>
      </c>
      <c r="L25" s="10" t="str">
        <f t="shared" si="11"/>
        <v>/ ton</v>
      </c>
      <c r="M25" s="29">
        <f t="shared" si="12"/>
        <v>0</v>
      </c>
      <c r="N25" s="83">
        <v>0</v>
      </c>
      <c r="O25" s="83">
        <v>1</v>
      </c>
      <c r="P25" s="83" t="s">
        <v>75</v>
      </c>
      <c r="Q25" s="83" t="s">
        <v>75</v>
      </c>
      <c r="R25" s="75">
        <f t="shared" si="13"/>
        <v>0</v>
      </c>
      <c r="S25" s="83">
        <v>0</v>
      </c>
      <c r="T25" s="29"/>
      <c r="U25" s="29"/>
      <c r="V25" s="29"/>
      <c r="W25" s="318"/>
    </row>
    <row r="26" spans="1:34" ht="18" customHeight="1" x14ac:dyDescent="0.4">
      <c r="A26" s="27" t="s">
        <v>229</v>
      </c>
      <c r="B26" s="19">
        <f t="shared" si="7"/>
        <v>0</v>
      </c>
      <c r="C26" s="9"/>
      <c r="D26" s="20">
        <f t="shared" si="8"/>
        <v>0</v>
      </c>
      <c r="E26" s="9"/>
      <c r="F26" s="81">
        <f t="shared" si="9"/>
        <v>0</v>
      </c>
      <c r="G26" s="71">
        <f t="shared" si="10"/>
        <v>0</v>
      </c>
      <c r="H26" s="83">
        <v>0</v>
      </c>
      <c r="I26" s="83" t="s">
        <v>145</v>
      </c>
      <c r="J26" s="83">
        <v>0</v>
      </c>
      <c r="K26" s="6">
        <v>0</v>
      </c>
      <c r="L26" s="10" t="str">
        <f t="shared" si="11"/>
        <v>/ ton</v>
      </c>
      <c r="M26" s="29">
        <f t="shared" si="12"/>
        <v>0</v>
      </c>
      <c r="N26" s="83">
        <v>0</v>
      </c>
      <c r="O26" s="83">
        <v>1</v>
      </c>
      <c r="P26" s="83" t="s">
        <v>75</v>
      </c>
      <c r="Q26" s="83" t="s">
        <v>75</v>
      </c>
      <c r="R26" s="75">
        <f t="shared" si="13"/>
        <v>0</v>
      </c>
      <c r="S26" s="83">
        <v>0</v>
      </c>
      <c r="T26" s="29"/>
      <c r="U26" s="29"/>
      <c r="V26" s="29"/>
      <c r="W26" s="318"/>
      <c r="Z26" s="21">
        <f>SUM(B20:B26)</f>
        <v>0</v>
      </c>
      <c r="AA26" s="21">
        <f>SUM(D20:D26)</f>
        <v>0</v>
      </c>
      <c r="AB26" s="74" t="s">
        <v>230</v>
      </c>
    </row>
    <row r="27" spans="1:34" ht="18" customHeight="1" x14ac:dyDescent="0.4">
      <c r="A27" s="24" t="s">
        <v>231</v>
      </c>
      <c r="D27" s="11"/>
      <c r="F27" s="11"/>
      <c r="H27" s="13" t="s">
        <v>232</v>
      </c>
      <c r="I27" s="13" t="s">
        <v>143</v>
      </c>
      <c r="J27" s="13" t="s">
        <v>344</v>
      </c>
      <c r="K27" s="13" t="s">
        <v>172</v>
      </c>
      <c r="L27" s="18" t="s">
        <v>147</v>
      </c>
      <c r="M27" s="13" t="s">
        <v>165</v>
      </c>
      <c r="N27" s="13" t="s">
        <v>82</v>
      </c>
      <c r="O27" s="13" t="s">
        <v>79</v>
      </c>
      <c r="P27" s="13" t="s">
        <v>73</v>
      </c>
      <c r="Q27" s="13" t="s">
        <v>74</v>
      </c>
      <c r="R27" s="13" t="s">
        <v>242</v>
      </c>
      <c r="S27" s="13" t="s">
        <v>342</v>
      </c>
      <c r="T27" s="187"/>
      <c r="U27" s="187"/>
      <c r="V27" s="187"/>
      <c r="W27" s="314"/>
      <c r="Z27" s="11"/>
      <c r="AB27" s="145"/>
    </row>
    <row r="28" spans="1:34" ht="18" customHeight="1" x14ac:dyDescent="0.4">
      <c r="A28" s="181" t="s">
        <v>233</v>
      </c>
      <c r="B28" s="19">
        <f t="shared" ref="B28:B37" si="14">((H28*K28)/O28)*N28</f>
        <v>0</v>
      </c>
      <c r="C28" s="9"/>
      <c r="D28" s="20">
        <f t="shared" ref="D28:D38" si="15">IF($D$5=0,B28/$H$5,B28/$J$14)</f>
        <v>0</v>
      </c>
      <c r="E28" s="9"/>
      <c r="F28" s="81">
        <f t="shared" ref="F28:F33" si="16">IF($F$5=0,(B28/($H$6/1000)),B28/$M$416)</f>
        <v>0</v>
      </c>
      <c r="G28" s="71">
        <f t="shared" ref="G28:G33" si="17">B28/$B$313</f>
        <v>0</v>
      </c>
      <c r="H28" s="83">
        <v>0</v>
      </c>
      <c r="I28" s="83" t="s">
        <v>144</v>
      </c>
      <c r="J28" s="83">
        <v>0</v>
      </c>
      <c r="K28" s="6">
        <v>0</v>
      </c>
      <c r="L28" s="10" t="str">
        <f t="shared" ref="L28:L39" si="18">CONCATENATE("/ ",I28)</f>
        <v>/ lb</v>
      </c>
      <c r="M28" s="29">
        <f t="shared" ref="M28:M39" si="19">H28/$H$5</f>
        <v>0</v>
      </c>
      <c r="N28" s="83">
        <v>0</v>
      </c>
      <c r="O28" s="83">
        <v>1</v>
      </c>
      <c r="P28" s="83" t="s">
        <v>75</v>
      </c>
      <c r="Q28" s="83" t="s">
        <v>75</v>
      </c>
      <c r="R28" s="75">
        <f t="shared" ref="R28:R33" si="20">J28*K28</f>
        <v>0</v>
      </c>
      <c r="S28" s="83">
        <v>0</v>
      </c>
      <c r="T28" s="13" t="s">
        <v>438</v>
      </c>
      <c r="U28" s="13" t="s">
        <v>439</v>
      </c>
      <c r="V28" s="29"/>
      <c r="W28" s="318"/>
      <c r="Z28" s="11"/>
      <c r="AB28" s="145"/>
    </row>
    <row r="29" spans="1:34" ht="18" customHeight="1" x14ac:dyDescent="0.4">
      <c r="A29" s="85" t="s">
        <v>440</v>
      </c>
      <c r="B29" s="205">
        <f t="shared" ref="B29" si="21">((H29*K29)/O29)*N29</f>
        <v>0.8805555555555552</v>
      </c>
      <c r="C29" s="200"/>
      <c r="D29" s="201">
        <f t="shared" ref="D29" si="22">IF($D$5=0,B29/$H$5,B29/$J$14)</f>
        <v>5.3571229050279321</v>
      </c>
      <c r="E29" s="200"/>
      <c r="F29" s="201">
        <f t="shared" si="16"/>
        <v>0.12298261949099935</v>
      </c>
      <c r="G29" s="242">
        <f t="shared" si="17"/>
        <v>1.7746538654078725E-3</v>
      </c>
      <c r="H29" s="208">
        <f>IF($S$11&gt;0,(S29*($U$11/U29)),0)</f>
        <v>0.2935185185185184</v>
      </c>
      <c r="I29" s="83" t="s">
        <v>64</v>
      </c>
      <c r="J29" s="222">
        <f>M29</f>
        <v>1.7857076350093106</v>
      </c>
      <c r="K29" s="6">
        <v>30</v>
      </c>
      <c r="L29" s="213" t="str">
        <f t="shared" ref="L29" si="23">CONCATENATE("/ ",I29)</f>
        <v>/ gallon</v>
      </c>
      <c r="M29" s="222">
        <f t="shared" ref="M29" si="24">H29/$H$5</f>
        <v>1.7857076350093106</v>
      </c>
      <c r="N29" s="83">
        <v>1</v>
      </c>
      <c r="O29" s="204">
        <f>$K$5</f>
        <v>10</v>
      </c>
      <c r="P29" s="83" t="s">
        <v>75</v>
      </c>
      <c r="Q29" s="83" t="s">
        <v>75</v>
      </c>
      <c r="R29" s="217">
        <f t="shared" ref="R29" si="25">J29*K29</f>
        <v>53.571229050279321</v>
      </c>
      <c r="S29" s="252">
        <f>T29/128</f>
        <v>2.0833333333333332E-2</v>
      </c>
      <c r="T29" s="84">
        <f>2+(2/3)</f>
        <v>2.6666666666666665</v>
      </c>
      <c r="U29" s="83">
        <v>300</v>
      </c>
      <c r="V29" s="29"/>
      <c r="W29" s="318"/>
      <c r="Z29" s="11"/>
      <c r="AB29" s="145"/>
    </row>
    <row r="30" spans="1:34" ht="18" customHeight="1" x14ac:dyDescent="0.4">
      <c r="A30" s="85" t="s">
        <v>441</v>
      </c>
      <c r="B30" s="205">
        <f t="shared" ref="B30:B31" si="26">((H30*K30)/O30)*N30</f>
        <v>0.8805555555555552</v>
      </c>
      <c r="C30" s="200"/>
      <c r="D30" s="201">
        <f t="shared" ref="D30:D31" si="27">IF($D$5=0,B30/$H$5,B30/$J$14)</f>
        <v>5.3571229050279321</v>
      </c>
      <c r="E30" s="200"/>
      <c r="F30" s="201">
        <f t="shared" si="16"/>
        <v>0.12298261949099935</v>
      </c>
      <c r="G30" s="242">
        <f t="shared" si="17"/>
        <v>1.7746538654078725E-3</v>
      </c>
      <c r="H30" s="208">
        <f>IF($S$11&gt;0,(S30*($U$11/U30)),0)</f>
        <v>0.2935185185185184</v>
      </c>
      <c r="I30" s="83" t="s">
        <v>64</v>
      </c>
      <c r="J30" s="222">
        <f t="shared" ref="J30:J31" si="28">M30</f>
        <v>1.7857076350093106</v>
      </c>
      <c r="K30" s="6">
        <v>30</v>
      </c>
      <c r="L30" s="213" t="str">
        <f t="shared" ref="L30:L31" si="29">CONCATENATE("/ ",I30)</f>
        <v>/ gallon</v>
      </c>
      <c r="M30" s="222">
        <f t="shared" ref="M30:M31" si="30">H30/$H$5</f>
        <v>1.7857076350093106</v>
      </c>
      <c r="N30" s="83">
        <v>1</v>
      </c>
      <c r="O30" s="204">
        <f t="shared" ref="O30:O31" si="31">$K$5</f>
        <v>10</v>
      </c>
      <c r="P30" s="83" t="s">
        <v>75</v>
      </c>
      <c r="Q30" s="83" t="s">
        <v>75</v>
      </c>
      <c r="R30" s="217">
        <f t="shared" ref="R30:R31" si="32">J30*K30</f>
        <v>53.571229050279321</v>
      </c>
      <c r="S30" s="252">
        <f t="shared" ref="S30:S32" si="33">T30/128</f>
        <v>2.0833333333333332E-2</v>
      </c>
      <c r="T30" s="84">
        <f t="shared" ref="T30:T31" si="34">2+(2/3)</f>
        <v>2.6666666666666665</v>
      </c>
      <c r="U30" s="83">
        <v>300</v>
      </c>
      <c r="V30" s="29"/>
      <c r="W30" s="318"/>
      <c r="Z30" s="11"/>
      <c r="AB30" s="145"/>
    </row>
    <row r="31" spans="1:34" ht="18" customHeight="1" x14ac:dyDescent="0.4">
      <c r="A31" s="85" t="s">
        <v>442</v>
      </c>
      <c r="B31" s="205">
        <f t="shared" si="26"/>
        <v>0.8805555555555552</v>
      </c>
      <c r="C31" s="200"/>
      <c r="D31" s="201">
        <f t="shared" si="27"/>
        <v>5.3571229050279321</v>
      </c>
      <c r="E31" s="200"/>
      <c r="F31" s="201">
        <f t="shared" si="16"/>
        <v>0.12298261949099935</v>
      </c>
      <c r="G31" s="242">
        <f t="shared" si="17"/>
        <v>1.7746538654078725E-3</v>
      </c>
      <c r="H31" s="208">
        <f>IF($S$11&gt;0,(S31*($U$11/U31)),0)</f>
        <v>0.2935185185185184</v>
      </c>
      <c r="I31" s="83" t="s">
        <v>64</v>
      </c>
      <c r="J31" s="222">
        <f t="shared" si="28"/>
        <v>1.7857076350093106</v>
      </c>
      <c r="K31" s="6">
        <v>30</v>
      </c>
      <c r="L31" s="213" t="str">
        <f t="shared" si="29"/>
        <v>/ gallon</v>
      </c>
      <c r="M31" s="222">
        <f t="shared" si="30"/>
        <v>1.7857076350093106</v>
      </c>
      <c r="N31" s="83">
        <v>1</v>
      </c>
      <c r="O31" s="204">
        <f t="shared" si="31"/>
        <v>10</v>
      </c>
      <c r="P31" s="83" t="s">
        <v>75</v>
      </c>
      <c r="Q31" s="83" t="s">
        <v>75</v>
      </c>
      <c r="R31" s="217">
        <f t="shared" si="32"/>
        <v>53.571229050279321</v>
      </c>
      <c r="S31" s="252">
        <f t="shared" si="33"/>
        <v>2.0833333333333332E-2</v>
      </c>
      <c r="T31" s="84">
        <f t="shared" si="34"/>
        <v>2.6666666666666665</v>
      </c>
      <c r="U31" s="83">
        <v>300</v>
      </c>
      <c r="V31" s="13" t="s">
        <v>469</v>
      </c>
      <c r="W31" s="318"/>
      <c r="Z31" s="11"/>
      <c r="AB31" s="145"/>
    </row>
    <row r="32" spans="1:34" ht="18" customHeight="1" x14ac:dyDescent="0.4">
      <c r="A32" s="85" t="s">
        <v>457</v>
      </c>
      <c r="B32" s="205">
        <f t="shared" si="14"/>
        <v>3.0128908867355992E-2</v>
      </c>
      <c r="C32" s="200"/>
      <c r="D32" s="201">
        <f t="shared" si="15"/>
        <v>0.18329822210363511</v>
      </c>
      <c r="E32" s="200"/>
      <c r="F32" s="201">
        <f t="shared" si="16"/>
        <v>4.2079481658318435E-3</v>
      </c>
      <c r="G32" s="242">
        <f t="shared" si="17"/>
        <v>6.0721193847037689E-5</v>
      </c>
      <c r="H32" s="222">
        <f>IF($X$9&gt;0,J32*$Y$9,0)</f>
        <v>3.6730945821854905E-2</v>
      </c>
      <c r="I32" s="83" t="s">
        <v>465</v>
      </c>
      <c r="J32" s="83">
        <v>2</v>
      </c>
      <c r="K32" s="193">
        <f>V32*16</f>
        <v>7.3823358952239042</v>
      </c>
      <c r="L32" s="213" t="str">
        <f t="shared" si="18"/>
        <v>/ pint</v>
      </c>
      <c r="M32" s="208">
        <f t="shared" si="19"/>
        <v>0.223463687150838</v>
      </c>
      <c r="N32" s="83">
        <v>1</v>
      </c>
      <c r="O32" s="204">
        <f>$K$5-$Z$13</f>
        <v>9</v>
      </c>
      <c r="P32" s="83" t="s">
        <v>75</v>
      </c>
      <c r="Q32" s="83" t="s">
        <v>75</v>
      </c>
      <c r="R32" s="217">
        <f>M32*K32</f>
        <v>1.6496839989327161</v>
      </c>
      <c r="S32" s="252">
        <f t="shared" si="33"/>
        <v>1.015625E-2</v>
      </c>
      <c r="T32" s="220">
        <v>1.3</v>
      </c>
      <c r="U32" s="83">
        <v>600</v>
      </c>
      <c r="V32" s="6">
        <v>0.46139599345149401</v>
      </c>
      <c r="W32" s="318"/>
      <c r="Z32" s="11"/>
      <c r="AB32" s="145"/>
    </row>
    <row r="33" spans="1:28" ht="18" customHeight="1" x14ac:dyDescent="0.4">
      <c r="A33" s="181" t="s">
        <v>234</v>
      </c>
      <c r="B33" s="19">
        <f t="shared" si="14"/>
        <v>0</v>
      </c>
      <c r="C33" s="9"/>
      <c r="D33" s="20">
        <f t="shared" si="15"/>
        <v>0</v>
      </c>
      <c r="E33" s="9"/>
      <c r="F33" s="81">
        <f t="shared" si="16"/>
        <v>0</v>
      </c>
      <c r="G33" s="71">
        <f t="shared" si="17"/>
        <v>0</v>
      </c>
      <c r="H33" s="83">
        <v>0</v>
      </c>
      <c r="I33" s="83" t="s">
        <v>64</v>
      </c>
      <c r="J33" s="83">
        <v>0</v>
      </c>
      <c r="K33" s="6">
        <v>0</v>
      </c>
      <c r="L33" s="10" t="str">
        <f t="shared" si="18"/>
        <v>/ gallon</v>
      </c>
      <c r="M33" s="29">
        <f t="shared" si="19"/>
        <v>0</v>
      </c>
      <c r="N33" s="83">
        <v>0</v>
      </c>
      <c r="O33" s="83">
        <v>1</v>
      </c>
      <c r="P33" s="83" t="s">
        <v>75</v>
      </c>
      <c r="Q33" s="83" t="s">
        <v>75</v>
      </c>
      <c r="R33" s="75">
        <f t="shared" si="20"/>
        <v>0</v>
      </c>
      <c r="S33" s="83">
        <v>0</v>
      </c>
      <c r="T33" s="11"/>
      <c r="U33" s="11"/>
      <c r="V33" s="187"/>
      <c r="W33" s="318"/>
      <c r="Z33" s="21">
        <f>SUM(B27:B33)</f>
        <v>2.6717955755340217</v>
      </c>
      <c r="AA33" s="21">
        <f>SUM(D27:D33)</f>
        <v>16.25466693718743</v>
      </c>
      <c r="AB33" s="74" t="s">
        <v>235</v>
      </c>
    </row>
    <row r="34" spans="1:28" ht="18" customHeight="1" x14ac:dyDescent="0.4">
      <c r="A34" s="24" t="s">
        <v>462</v>
      </c>
      <c r="D34" s="11"/>
      <c r="F34" s="11"/>
      <c r="H34" s="13" t="s">
        <v>232</v>
      </c>
      <c r="I34" s="13" t="s">
        <v>143</v>
      </c>
      <c r="J34" s="13" t="s">
        <v>344</v>
      </c>
      <c r="K34" s="13" t="s">
        <v>172</v>
      </c>
      <c r="L34" s="18" t="s">
        <v>147</v>
      </c>
      <c r="M34" s="13" t="s">
        <v>165</v>
      </c>
      <c r="N34" s="13" t="s">
        <v>82</v>
      </c>
      <c r="O34" s="13" t="s">
        <v>79</v>
      </c>
      <c r="P34" s="13" t="s">
        <v>73</v>
      </c>
      <c r="Q34" s="13" t="s">
        <v>74</v>
      </c>
      <c r="R34" s="13" t="s">
        <v>242</v>
      </c>
      <c r="S34" s="13" t="s">
        <v>342</v>
      </c>
      <c r="T34" s="187"/>
      <c r="U34" s="187"/>
      <c r="V34" s="13" t="s">
        <v>469</v>
      </c>
      <c r="W34" s="318"/>
      <c r="Z34" s="11"/>
      <c r="AB34" s="145"/>
    </row>
    <row r="35" spans="1:28" ht="18" customHeight="1" x14ac:dyDescent="0.4">
      <c r="A35" s="85" t="s">
        <v>464</v>
      </c>
      <c r="B35" s="205">
        <f t="shared" ref="B35" si="35">((H35*K35)/O35)*N35</f>
        <v>6.2207897746922617E-3</v>
      </c>
      <c r="C35" s="200"/>
      <c r="D35" s="201">
        <f t="shared" ref="D35" si="36">IF($D$5=0,B35/$H$5,B35/$J$14)</f>
        <v>3.7846033880669691E-2</v>
      </c>
      <c r="E35" s="200"/>
      <c r="F35" s="201">
        <f>IF($F$5=0,(B35/($H$6/1000)),B35/$M$416)</f>
        <v>8.6882538752685245E-4</v>
      </c>
      <c r="G35" s="245">
        <f>B35/$B$313</f>
        <v>1.2537253952798303E-5</v>
      </c>
      <c r="H35" s="222">
        <f>IF($X$9&gt;0,J35*$Y$9,0)</f>
        <v>3.6730945821854905E-2</v>
      </c>
      <c r="I35" s="83" t="s">
        <v>465</v>
      </c>
      <c r="J35" s="83">
        <v>2</v>
      </c>
      <c r="K35" s="193">
        <f>V35*16</f>
        <v>1.5242490145439718</v>
      </c>
      <c r="L35" s="213" t="str">
        <f t="shared" ref="L35" si="37">CONCATENATE("/ ",I35)</f>
        <v>/ pint</v>
      </c>
      <c r="M35" s="208">
        <f t="shared" ref="M35" si="38">H35/$H$5</f>
        <v>0.223463687150838</v>
      </c>
      <c r="N35" s="83">
        <v>1</v>
      </c>
      <c r="O35" s="204">
        <f>$K$5-$Z$13</f>
        <v>9</v>
      </c>
      <c r="P35" s="83" t="s">
        <v>75</v>
      </c>
      <c r="Q35" s="83" t="s">
        <v>75</v>
      </c>
      <c r="R35" s="193">
        <f>M35*K35</f>
        <v>0.34061430492602723</v>
      </c>
      <c r="S35" s="83">
        <v>0</v>
      </c>
      <c r="T35" s="13" t="s">
        <v>388</v>
      </c>
      <c r="U35" s="13" t="s">
        <v>388</v>
      </c>
      <c r="V35" s="6">
        <v>9.5265563408998236E-2</v>
      </c>
      <c r="W35" s="318"/>
      <c r="Z35" s="20">
        <f>SUM(B34:B35)</f>
        <v>6.2207897746922617E-3</v>
      </c>
      <c r="AA35" s="20">
        <f>SUM(D34:D35)</f>
        <v>3.7846033880669691E-2</v>
      </c>
      <c r="AB35" s="74" t="s">
        <v>463</v>
      </c>
    </row>
    <row r="36" spans="1:28" ht="18" customHeight="1" x14ac:dyDescent="0.4">
      <c r="A36" s="158" t="s">
        <v>236</v>
      </c>
      <c r="B36" s="19">
        <f t="shared" si="14"/>
        <v>0</v>
      </c>
      <c r="C36" s="9"/>
      <c r="D36" s="20">
        <f t="shared" si="15"/>
        <v>0</v>
      </c>
      <c r="E36" s="9"/>
      <c r="F36" s="81">
        <f>IF($F$5=0,(B36/($H$6/1000)),B36/$M$416)</f>
        <v>0</v>
      </c>
      <c r="G36" s="71">
        <f>B36/$B$313</f>
        <v>0</v>
      </c>
      <c r="H36" s="62">
        <f>(S36/$AE$4)*(SUM($H$3:$H$4))</f>
        <v>0</v>
      </c>
      <c r="I36" s="83" t="s">
        <v>145</v>
      </c>
      <c r="J36" s="160">
        <v>2.25</v>
      </c>
      <c r="K36" s="6">
        <v>300</v>
      </c>
      <c r="L36" s="10" t="str">
        <f t="shared" si="18"/>
        <v>/ ton</v>
      </c>
      <c r="M36" s="29">
        <f t="shared" si="19"/>
        <v>0</v>
      </c>
      <c r="N36" s="83">
        <v>0</v>
      </c>
      <c r="O36" s="29">
        <f>$K$5</f>
        <v>10</v>
      </c>
      <c r="P36" s="83">
        <v>0</v>
      </c>
      <c r="Q36" s="162">
        <f>(8500/2000)*H1</f>
        <v>0.69857667584940297</v>
      </c>
      <c r="R36" s="75">
        <f>IF(SUM($H$3:$H$4)&gt;0,J36*K36,0)</f>
        <v>0</v>
      </c>
      <c r="S36" s="169">
        <f>(4500/2000)/(1/$W$4)</f>
        <v>1.5495867768595042E-2</v>
      </c>
      <c r="T36" s="13" t="s">
        <v>73</v>
      </c>
      <c r="U36" s="13" t="s">
        <v>74</v>
      </c>
      <c r="V36" s="13" t="s">
        <v>415</v>
      </c>
      <c r="W36" s="318"/>
      <c r="Z36" s="21">
        <f>B36</f>
        <v>0</v>
      </c>
      <c r="AA36" s="21">
        <f>D36</f>
        <v>0</v>
      </c>
      <c r="AB36" s="74" t="s">
        <v>237</v>
      </c>
    </row>
    <row r="37" spans="1:28" ht="18" customHeight="1" x14ac:dyDescent="0.4">
      <c r="A37" s="27" t="s">
        <v>238</v>
      </c>
      <c r="B37" s="19">
        <f t="shared" si="14"/>
        <v>0</v>
      </c>
      <c r="C37" s="9"/>
      <c r="D37" s="20">
        <f t="shared" si="15"/>
        <v>0</v>
      </c>
      <c r="E37" s="9"/>
      <c r="F37" s="81">
        <f>IF($F$5=0,(B37/($H$6/1000)),B37/$M$416)</f>
        <v>0</v>
      </c>
      <c r="G37" s="71">
        <f>B37/$B$313</f>
        <v>0</v>
      </c>
      <c r="H37" s="83">
        <v>0</v>
      </c>
      <c r="I37" s="83" t="s">
        <v>239</v>
      </c>
      <c r="J37" s="83">
        <v>0</v>
      </c>
      <c r="K37" s="6">
        <v>0</v>
      </c>
      <c r="L37" s="10" t="str">
        <f t="shared" si="18"/>
        <v>/ seedling</v>
      </c>
      <c r="M37" s="29">
        <f t="shared" si="19"/>
        <v>0</v>
      </c>
      <c r="N37" s="83">
        <v>0</v>
      </c>
      <c r="O37" s="83">
        <v>1</v>
      </c>
      <c r="P37" s="83" t="s">
        <v>75</v>
      </c>
      <c r="Q37" s="83" t="s">
        <v>75</v>
      </c>
      <c r="R37" s="75">
        <f t="shared" ref="R37" si="39">J37*K37</f>
        <v>0</v>
      </c>
      <c r="S37" s="83">
        <v>0</v>
      </c>
      <c r="T37" s="83" t="s">
        <v>75</v>
      </c>
      <c r="U37" s="83" t="s">
        <v>75</v>
      </c>
      <c r="V37" s="83" t="s">
        <v>75</v>
      </c>
      <c r="W37" s="318"/>
      <c r="Z37" s="21"/>
      <c r="AA37" s="21"/>
      <c r="AB37" s="74"/>
    </row>
    <row r="38" spans="1:28" s="473" customFormat="1" ht="18" customHeight="1" x14ac:dyDescent="0.4">
      <c r="A38" s="185" t="s">
        <v>655</v>
      </c>
      <c r="B38" s="199">
        <f>((H38*K38)/O38)*N38</f>
        <v>0</v>
      </c>
      <c r="C38" s="200"/>
      <c r="D38" s="201">
        <f t="shared" si="15"/>
        <v>0</v>
      </c>
      <c r="E38" s="200"/>
      <c r="F38" s="201">
        <f>IF($F$5=0,(B38/($H$6/1000)),B38/$M$416)</f>
        <v>0</v>
      </c>
      <c r="G38" s="202">
        <f>B38/$B$313</f>
        <v>0</v>
      </c>
      <c r="H38" s="203">
        <f>IF($F$1=1,'SEED-SEEDLING Selection'!M103,0)</f>
        <v>0</v>
      </c>
      <c r="I38" s="83" t="s">
        <v>239</v>
      </c>
      <c r="J38" s="204">
        <f>IF($F$1=1,1/V38,0)</f>
        <v>0</v>
      </c>
      <c r="K38" s="193">
        <f>IF($F$1=1,'SEED-SEEDLING Selection'!M101,0)</f>
        <v>0</v>
      </c>
      <c r="L38" s="213" t="str">
        <f t="shared" ref="L38" si="40">CONCATENATE("/ ",I38)</f>
        <v>/ seedling</v>
      </c>
      <c r="M38" s="203">
        <f t="shared" ref="M38" si="41">H38/$H$5</f>
        <v>0</v>
      </c>
      <c r="N38" s="204">
        <f>IF($F$1=1,1,0)</f>
        <v>0</v>
      </c>
      <c r="O38" s="204">
        <f t="shared" ref="O38:O45" si="42">$K$5</f>
        <v>10</v>
      </c>
      <c r="P38" s="83" t="s">
        <v>75</v>
      </c>
      <c r="Q38" s="83" t="s">
        <v>75</v>
      </c>
      <c r="R38" s="217">
        <f>M38*K38</f>
        <v>0</v>
      </c>
      <c r="S38" s="83">
        <v>0</v>
      </c>
      <c r="T38" s="6">
        <v>1.3</v>
      </c>
      <c r="U38" s="6">
        <v>1.4</v>
      </c>
      <c r="V38" s="222" t="e">
        <f>'SEED-SEEDLING Selection'!M2/'SEED-SEEDLING Selection'!M103</f>
        <v>#DIV/0!</v>
      </c>
      <c r="W38" s="472"/>
      <c r="Z38" s="474"/>
      <c r="AA38" s="474"/>
      <c r="AB38" s="475"/>
    </row>
    <row r="39" spans="1:28" ht="18" customHeight="1" x14ac:dyDescent="0.4">
      <c r="A39" s="185" t="s">
        <v>238</v>
      </c>
      <c r="B39" s="199">
        <f>((H39*K39)/O39)*N39</f>
        <v>348.2999999999999</v>
      </c>
      <c r="C39" s="200"/>
      <c r="D39" s="201">
        <f t="shared" ref="D39" si="43">IF($D$5=0,B39/$H$5,B39/$J$14)</f>
        <v>2118.9871508379888</v>
      </c>
      <c r="E39" s="200"/>
      <c r="F39" s="201">
        <f>IF($F$5=0,(B39/($H$6/1000)),B39/$M$416)</f>
        <v>48.645251396648042</v>
      </c>
      <c r="G39" s="202">
        <f>B39/$B$313</f>
        <v>0.70195677878789375</v>
      </c>
      <c r="H39" s="203">
        <f>IF($F$1=0,J39*$U$15,0)</f>
        <v>2579.9999999999991</v>
      </c>
      <c r="I39" s="83" t="s">
        <v>239</v>
      </c>
      <c r="J39" s="204">
        <f>1/V39</f>
        <v>1</v>
      </c>
      <c r="K39" s="619">
        <f>IF($F$1=0,'KEY DATA'!N19,0)</f>
        <v>1.35</v>
      </c>
      <c r="L39" s="213" t="str">
        <f t="shared" si="18"/>
        <v>/ seedling</v>
      </c>
      <c r="M39" s="203">
        <f t="shared" si="19"/>
        <v>15696.201117318435</v>
      </c>
      <c r="N39" s="204">
        <f>IF($F$1=1,0,1)</f>
        <v>1</v>
      </c>
      <c r="O39" s="204">
        <f t="shared" si="42"/>
        <v>10</v>
      </c>
      <c r="P39" s="83" t="s">
        <v>75</v>
      </c>
      <c r="Q39" s="83" t="s">
        <v>75</v>
      </c>
      <c r="R39" s="217">
        <f>M39*K39</f>
        <v>21189.871508379889</v>
      </c>
      <c r="S39" s="83">
        <v>0</v>
      </c>
      <c r="T39" s="6">
        <v>1.3</v>
      </c>
      <c r="U39" s="6">
        <v>1.4</v>
      </c>
      <c r="V39" s="618">
        <f>'KEY DATA'!F19</f>
        <v>1</v>
      </c>
      <c r="W39" s="318"/>
      <c r="Z39" s="21">
        <f>SUM(B37:B39)</f>
        <v>348.2999999999999</v>
      </c>
      <c r="AA39" s="21">
        <f>SUM(D37:D39)</f>
        <v>2118.9871508379888</v>
      </c>
      <c r="AB39" s="74" t="s">
        <v>240</v>
      </c>
    </row>
    <row r="40" spans="1:28" ht="18" customHeight="1" x14ac:dyDescent="0.4">
      <c r="A40" s="27" t="s">
        <v>241</v>
      </c>
      <c r="C40" s="9"/>
      <c r="D40" s="11"/>
      <c r="E40" s="9"/>
      <c r="F40" s="11"/>
      <c r="H40" s="13" t="s">
        <v>232</v>
      </c>
      <c r="I40" s="13" t="s">
        <v>143</v>
      </c>
      <c r="J40" s="13" t="s">
        <v>202</v>
      </c>
      <c r="K40" s="13" t="s">
        <v>172</v>
      </c>
      <c r="L40" s="18" t="s">
        <v>147</v>
      </c>
      <c r="M40" s="13" t="s">
        <v>165</v>
      </c>
      <c r="N40" s="13" t="s">
        <v>82</v>
      </c>
      <c r="O40" s="13" t="s">
        <v>79</v>
      </c>
      <c r="P40" s="13" t="s">
        <v>73</v>
      </c>
      <c r="Q40" s="13" t="s">
        <v>74</v>
      </c>
      <c r="R40" s="13" t="s">
        <v>242</v>
      </c>
      <c r="S40" s="13" t="s">
        <v>342</v>
      </c>
      <c r="W40" s="318"/>
    </row>
    <row r="41" spans="1:28" ht="18" customHeight="1" x14ac:dyDescent="0.4">
      <c r="A41" s="192" t="s">
        <v>243</v>
      </c>
      <c r="B41" s="159">
        <f t="shared" ref="B41:B45" si="44">((H41*K41)/O41)*N41</f>
        <v>0</v>
      </c>
      <c r="C41" s="9"/>
      <c r="D41" s="20">
        <f t="shared" ref="D41:D46" si="45">IF($D$5=0,B41/$H$5,B41/$J$14)</f>
        <v>0</v>
      </c>
      <c r="E41" s="9"/>
      <c r="F41" s="81">
        <f t="shared" ref="F41:F48" si="46">IF($F$5=0,(B41/($H$6/1000)),B41/$M$416)</f>
        <v>0</v>
      </c>
      <c r="G41" s="71">
        <f t="shared" ref="G41:G48" si="47">B41/$B$313</f>
        <v>0</v>
      </c>
      <c r="H41" s="62">
        <f>(S41/$AE$4)*$H$3</f>
        <v>0</v>
      </c>
      <c r="I41" s="83" t="s">
        <v>144</v>
      </c>
      <c r="J41" s="160">
        <v>6.0060000000000002</v>
      </c>
      <c r="K41" s="6">
        <f>26/5</f>
        <v>5.2</v>
      </c>
      <c r="L41" s="10" t="str">
        <f t="shared" ref="L41:L46" si="48">CONCATENATE("/ ",I41)</f>
        <v>/ lb</v>
      </c>
      <c r="M41" s="60">
        <f>IF($H$3&gt;0,H41/$H$3,0)</f>
        <v>0</v>
      </c>
      <c r="N41" s="83">
        <v>0</v>
      </c>
      <c r="O41" s="29">
        <f t="shared" si="42"/>
        <v>10</v>
      </c>
      <c r="P41" s="83" t="s">
        <v>75</v>
      </c>
      <c r="Q41" s="83" t="s">
        <v>75</v>
      </c>
      <c r="R41" s="30">
        <f>IF($H$3&gt;0,J41*K41,0)</f>
        <v>0</v>
      </c>
      <c r="S41" s="83">
        <f>0.2275*3</f>
        <v>0.6825</v>
      </c>
      <c r="W41" s="318"/>
    </row>
    <row r="42" spans="1:28" ht="18" customHeight="1" x14ac:dyDescent="0.4">
      <c r="A42" s="192" t="s">
        <v>244</v>
      </c>
      <c r="B42" s="159">
        <f t="shared" si="44"/>
        <v>0</v>
      </c>
      <c r="C42" s="9"/>
      <c r="D42" s="20">
        <f t="shared" si="45"/>
        <v>0</v>
      </c>
      <c r="E42" s="9"/>
      <c r="F42" s="81">
        <f t="shared" si="46"/>
        <v>0</v>
      </c>
      <c r="G42" s="71">
        <f t="shared" si="47"/>
        <v>0</v>
      </c>
      <c r="H42" s="62">
        <f t="shared" ref="H42:H43" si="49">(S42/$AE$4)*$H$3</f>
        <v>0</v>
      </c>
      <c r="I42" s="83" t="s">
        <v>144</v>
      </c>
      <c r="J42" s="160">
        <v>5.0028000000000006</v>
      </c>
      <c r="K42" s="6">
        <f>14/2</f>
        <v>7</v>
      </c>
      <c r="L42" s="10" t="str">
        <f t="shared" si="48"/>
        <v>/ lb</v>
      </c>
      <c r="M42" s="60">
        <f>IF($H$3&gt;0,H42/$H$3,0)</f>
        <v>0</v>
      </c>
      <c r="N42" s="83">
        <v>0</v>
      </c>
      <c r="O42" s="29">
        <f t="shared" si="42"/>
        <v>10</v>
      </c>
      <c r="P42" s="83" t="s">
        <v>75</v>
      </c>
      <c r="Q42" s="83" t="s">
        <v>75</v>
      </c>
      <c r="R42" s="30">
        <f>IF($H$3&gt;0,J42*K42,0)</f>
        <v>0</v>
      </c>
      <c r="S42" s="83">
        <f>0.1895*3</f>
        <v>0.56850000000000001</v>
      </c>
      <c r="W42" s="318"/>
    </row>
    <row r="43" spans="1:28" ht="18" customHeight="1" x14ac:dyDescent="0.4">
      <c r="A43" s="192" t="s">
        <v>245</v>
      </c>
      <c r="B43" s="159">
        <f>((H43*K43)/O43)*N43</f>
        <v>0</v>
      </c>
      <c r="C43" s="9"/>
      <c r="D43" s="20">
        <f t="shared" si="45"/>
        <v>0</v>
      </c>
      <c r="E43" s="9"/>
      <c r="F43" s="81">
        <f t="shared" si="46"/>
        <v>0</v>
      </c>
      <c r="G43" s="71">
        <f t="shared" si="47"/>
        <v>0</v>
      </c>
      <c r="H43" s="62">
        <f t="shared" si="49"/>
        <v>0</v>
      </c>
      <c r="I43" s="83" t="s">
        <v>144</v>
      </c>
      <c r="J43" s="160">
        <v>7.0091999999999999</v>
      </c>
      <c r="K43" s="6">
        <f>46.9/5</f>
        <v>9.379999999999999</v>
      </c>
      <c r="L43" s="10" t="str">
        <f t="shared" si="48"/>
        <v>/ lb</v>
      </c>
      <c r="M43" s="60">
        <f>IF($H$3&gt;0,H43/$H$3,0)</f>
        <v>0</v>
      </c>
      <c r="N43" s="83">
        <v>0</v>
      </c>
      <c r="O43" s="29">
        <f t="shared" si="42"/>
        <v>10</v>
      </c>
      <c r="P43" s="83" t="s">
        <v>75</v>
      </c>
      <c r="Q43" s="83" t="s">
        <v>75</v>
      </c>
      <c r="R43" s="30">
        <f>IF($H$3&gt;0,J43*K43,0)</f>
        <v>0</v>
      </c>
      <c r="S43" s="83">
        <f>0.2655*3</f>
        <v>0.79649999999999999</v>
      </c>
      <c r="W43" s="319"/>
    </row>
    <row r="44" spans="1:28" ht="18" customHeight="1" x14ac:dyDescent="0.4">
      <c r="A44" s="192" t="s">
        <v>246</v>
      </c>
      <c r="B44" s="159">
        <f>((H44*K44)/O44)*N44</f>
        <v>0</v>
      </c>
      <c r="C44" s="9"/>
      <c r="D44" s="20">
        <f t="shared" si="45"/>
        <v>0</v>
      </c>
      <c r="E44" s="9"/>
      <c r="F44" s="81">
        <f t="shared" si="46"/>
        <v>0</v>
      </c>
      <c r="G44" s="71">
        <f t="shared" si="47"/>
        <v>0</v>
      </c>
      <c r="H44" s="62">
        <f>(S44/$AE$4)*$H$4</f>
        <v>0</v>
      </c>
      <c r="I44" s="83" t="s">
        <v>144</v>
      </c>
      <c r="J44" s="160">
        <v>9.7158103915247995</v>
      </c>
      <c r="K44" s="6">
        <v>47.930428261000998</v>
      </c>
      <c r="L44" s="10" t="str">
        <f t="shared" si="48"/>
        <v>/ lb</v>
      </c>
      <c r="M44" s="60">
        <f>IF($H$4&gt;0,H44/$H$4,0)</f>
        <v>0</v>
      </c>
      <c r="N44" s="83">
        <v>0</v>
      </c>
      <c r="O44" s="29">
        <f t="shared" si="42"/>
        <v>10</v>
      </c>
      <c r="P44" s="83">
        <v>10</v>
      </c>
      <c r="Q44" s="83">
        <v>12</v>
      </c>
      <c r="R44" s="30">
        <f>IF($H$4&gt;0,J44*K44,0)</f>
        <v>0</v>
      </c>
      <c r="S44" s="169">
        <v>1.1040693628675888</v>
      </c>
      <c r="W44" s="319"/>
    </row>
    <row r="45" spans="1:28" ht="18" customHeight="1" x14ac:dyDescent="0.4">
      <c r="A45" s="192" t="s">
        <v>247</v>
      </c>
      <c r="B45" s="159">
        <f t="shared" si="44"/>
        <v>0</v>
      </c>
      <c r="C45" s="9"/>
      <c r="D45" s="20">
        <f t="shared" si="45"/>
        <v>0</v>
      </c>
      <c r="E45" s="9"/>
      <c r="F45" s="81">
        <f t="shared" si="46"/>
        <v>0</v>
      </c>
      <c r="G45" s="71">
        <f t="shared" si="47"/>
        <v>0</v>
      </c>
      <c r="H45" s="62">
        <f>(S45/$AE$4)*$H$4</f>
        <v>0</v>
      </c>
      <c r="I45" s="83" t="s">
        <v>144</v>
      </c>
      <c r="J45" s="161">
        <f>IF(SUM($H$3:$H$4)=1,H45/($H$3+$H$4),0)</f>
        <v>0</v>
      </c>
      <c r="K45" s="6">
        <f>35/50</f>
        <v>0.7</v>
      </c>
      <c r="L45" s="10" t="str">
        <f t="shared" si="48"/>
        <v>/ lb</v>
      </c>
      <c r="M45" s="60">
        <f>IF(SUM($H$3:$H$4)&gt;0,H45/SUM($H$3:$H$4),0)</f>
        <v>0</v>
      </c>
      <c r="N45" s="83">
        <v>0</v>
      </c>
      <c r="O45" s="29">
        <f t="shared" si="42"/>
        <v>10</v>
      </c>
      <c r="P45" s="83" t="s">
        <v>75</v>
      </c>
      <c r="Q45" s="83" t="s">
        <v>75</v>
      </c>
      <c r="R45" s="30">
        <f t="shared" ref="R45:R46" si="50">J45*K45</f>
        <v>0</v>
      </c>
      <c r="S45" s="83">
        <f>(0.4125*3)</f>
        <v>1.2374999999999998</v>
      </c>
      <c r="W45" s="13" t="s">
        <v>420</v>
      </c>
      <c r="X45" s="13" t="s">
        <v>418</v>
      </c>
      <c r="Y45" s="13" t="s">
        <v>419</v>
      </c>
    </row>
    <row r="46" spans="1:28" s="473" customFormat="1" ht="18" customHeight="1" x14ac:dyDescent="0.4">
      <c r="A46" s="85" t="s">
        <v>657</v>
      </c>
      <c r="B46" s="199">
        <f>((H46*K46)/O46)*N46</f>
        <v>0</v>
      </c>
      <c r="C46" s="200"/>
      <c r="D46" s="201">
        <f t="shared" si="45"/>
        <v>0</v>
      </c>
      <c r="E46" s="200"/>
      <c r="F46" s="201">
        <f t="shared" si="46"/>
        <v>0</v>
      </c>
      <c r="G46" s="202">
        <f t="shared" si="47"/>
        <v>0</v>
      </c>
      <c r="H46" s="208">
        <f>IF($F$1=1,'SEED-SEEDLING Selection'!J103,0)</f>
        <v>0</v>
      </c>
      <c r="I46" s="83" t="s">
        <v>144</v>
      </c>
      <c r="J46" s="221">
        <f>IF($F$1=1,('SEED-SEEDLING Selection'!J103/'SEED-SEEDLING Selection'!L2)*43560,0)</f>
        <v>0</v>
      </c>
      <c r="K46" s="193">
        <f>IF($F$1=1,'SEED-SEEDLING Selection'!J101,0)</f>
        <v>0</v>
      </c>
      <c r="L46" s="213" t="str">
        <f t="shared" si="48"/>
        <v>/ lb</v>
      </c>
      <c r="M46" s="222">
        <f>IF($H$1&gt;0,H46/$H$1,0)</f>
        <v>0</v>
      </c>
      <c r="N46" s="83">
        <v>1</v>
      </c>
      <c r="O46" s="204">
        <f>$K$5-$U$17</f>
        <v>9</v>
      </c>
      <c r="P46" s="83" t="s">
        <v>75</v>
      </c>
      <c r="Q46" s="83" t="s">
        <v>75</v>
      </c>
      <c r="R46" s="193">
        <f t="shared" si="50"/>
        <v>0</v>
      </c>
      <c r="S46" s="83" t="s">
        <v>75</v>
      </c>
      <c r="T46" s="151"/>
      <c r="U46" s="151"/>
      <c r="V46" s="476"/>
      <c r="W46" s="83">
        <v>1</v>
      </c>
      <c r="X46" s="55">
        <v>1498</v>
      </c>
      <c r="Y46" s="30">
        <f>X46/(W46*$T$47)</f>
        <v>109.34306569343066</v>
      </c>
      <c r="Z46" s="477"/>
    </row>
    <row r="47" spans="1:28" ht="18" customHeight="1" x14ac:dyDescent="0.4">
      <c r="A47" s="85" t="s">
        <v>246</v>
      </c>
      <c r="B47" s="199">
        <f>((H47*K47)/O47)*N47</f>
        <v>17.500357106417759</v>
      </c>
      <c r="C47" s="200"/>
      <c r="D47" s="201">
        <f t="shared" ref="D47" si="51">IF($D$5=0,B47/$H$5,B47/$J$14)</f>
        <v>106.46865301055276</v>
      </c>
      <c r="E47" s="200"/>
      <c r="F47" s="201">
        <f t="shared" si="46"/>
        <v>2.444183953410302</v>
      </c>
      <c r="G47" s="202">
        <f t="shared" si="47"/>
        <v>3.5269865926094858E-2</v>
      </c>
      <c r="H47" s="208">
        <f>IF($F$1=0,J47*$T$16,0)</f>
        <v>1.4404499540863172</v>
      </c>
      <c r="I47" s="83" t="s">
        <v>144</v>
      </c>
      <c r="J47" s="221">
        <f>IF($F$1=0,T47,0)</f>
        <v>13.7</v>
      </c>
      <c r="K47" s="619">
        <f>IF($F$1=0,'KEY DATA'!N20,0)</f>
        <v>109.343065693431</v>
      </c>
      <c r="L47" s="213" t="str">
        <f t="shared" ref="L47" si="52">CONCATENATE("/ ",I47)</f>
        <v>/ lb</v>
      </c>
      <c r="M47" s="222">
        <f>IF($H$1&gt;0,H47/$H$1,0)</f>
        <v>8.7634078212290483</v>
      </c>
      <c r="N47" s="83">
        <v>1</v>
      </c>
      <c r="O47" s="204">
        <f>$K$5-$U$17</f>
        <v>9</v>
      </c>
      <c r="P47" s="83" t="s">
        <v>75</v>
      </c>
      <c r="Q47" s="83" t="s">
        <v>75</v>
      </c>
      <c r="R47" s="193">
        <f t="shared" ref="R47" si="53">J47*K47</f>
        <v>1498.0000000000045</v>
      </c>
      <c r="S47" s="83" t="s">
        <v>75</v>
      </c>
      <c r="T47" s="620">
        <f>'KEY DATA'!J20</f>
        <v>13.7</v>
      </c>
      <c r="U47" s="10" t="s">
        <v>0</v>
      </c>
      <c r="W47" s="83">
        <v>0.5</v>
      </c>
      <c r="X47" s="55">
        <v>749</v>
      </c>
      <c r="Y47" s="30">
        <f>X47/(W47*$T$47)</f>
        <v>109.34306569343066</v>
      </c>
      <c r="Z47" s="21">
        <f>SUM(B40:B53)</f>
        <v>21.066763095322244</v>
      </c>
      <c r="AA47" s="21">
        <f>SUM(D40:D53)</f>
        <v>128.16594978103871</v>
      </c>
      <c r="AB47" s="74" t="s">
        <v>248</v>
      </c>
    </row>
    <row r="48" spans="1:28" ht="18" customHeight="1" x14ac:dyDescent="0.4">
      <c r="A48" s="1" t="s">
        <v>718</v>
      </c>
      <c r="B48" s="19">
        <f>((H48*K48)/O48)*N48</f>
        <v>0</v>
      </c>
      <c r="C48" s="9"/>
      <c r="D48" s="20">
        <f>IF($D$5=0,B48/$H$5,B48/$J$14)</f>
        <v>0</v>
      </c>
      <c r="E48" s="9"/>
      <c r="F48" s="81">
        <f t="shared" si="46"/>
        <v>0</v>
      </c>
      <c r="G48" s="71">
        <f t="shared" si="47"/>
        <v>0</v>
      </c>
      <c r="H48" s="62">
        <f>J48*$H$1</f>
        <v>0</v>
      </c>
      <c r="I48" s="83" t="s">
        <v>136</v>
      </c>
      <c r="J48" s="29">
        <f>T48</f>
        <v>0</v>
      </c>
      <c r="K48" s="6">
        <v>0</v>
      </c>
      <c r="L48" s="10" t="str">
        <f>CONCATENATE("/ ",I48)</f>
        <v>/ n/a</v>
      </c>
      <c r="M48" s="29">
        <f>H48/$H$5</f>
        <v>0</v>
      </c>
      <c r="N48" s="83">
        <v>0</v>
      </c>
      <c r="O48" s="83">
        <v>1</v>
      </c>
      <c r="P48" s="83" t="s">
        <v>75</v>
      </c>
      <c r="Q48" s="83" t="s">
        <v>75</v>
      </c>
      <c r="R48" s="75">
        <f>J48*K48</f>
        <v>0</v>
      </c>
      <c r="S48" s="83">
        <v>0</v>
      </c>
      <c r="V48" s="29"/>
    </row>
    <row r="49" spans="1:28" ht="18" customHeight="1" x14ac:dyDescent="0.4">
      <c r="A49" s="185" t="s">
        <v>394</v>
      </c>
      <c r="C49" s="9"/>
      <c r="D49" s="11"/>
      <c r="E49" s="9"/>
      <c r="F49" s="11"/>
      <c r="H49" s="13" t="s">
        <v>232</v>
      </c>
      <c r="I49" s="13" t="s">
        <v>143</v>
      </c>
      <c r="J49" s="13" t="s">
        <v>202</v>
      </c>
      <c r="K49" s="13" t="s">
        <v>172</v>
      </c>
      <c r="L49" s="18" t="s">
        <v>147</v>
      </c>
      <c r="M49" s="13" t="s">
        <v>165</v>
      </c>
      <c r="N49" s="13" t="s">
        <v>82</v>
      </c>
      <c r="O49" s="13" t="s">
        <v>79</v>
      </c>
      <c r="P49" s="13" t="s">
        <v>73</v>
      </c>
      <c r="Q49" s="13" t="s">
        <v>74</v>
      </c>
      <c r="R49" s="13" t="s">
        <v>242</v>
      </c>
      <c r="S49" s="13" t="s">
        <v>342</v>
      </c>
      <c r="T49" s="78">
        <v>248</v>
      </c>
      <c r="U49" s="10" t="s">
        <v>421</v>
      </c>
      <c r="V49" s="187"/>
      <c r="W49" s="83">
        <v>0.25</v>
      </c>
      <c r="X49" s="55">
        <v>375</v>
      </c>
      <c r="Y49" s="30">
        <f>X49/(W49*$T$47)</f>
        <v>109.48905109489051</v>
      </c>
      <c r="Z49" s="11"/>
      <c r="AB49" s="145"/>
    </row>
    <row r="50" spans="1:28" ht="18" customHeight="1" x14ac:dyDescent="0.4">
      <c r="A50" s="85" t="s">
        <v>395</v>
      </c>
      <c r="B50" s="199">
        <f>((H50*K50)/O50)*N50*$S$16</f>
        <v>0</v>
      </c>
      <c r="C50" s="200"/>
      <c r="D50" s="201">
        <f t="shared" ref="D50:D51" si="54">IF($D$5=0,B50/$H$5,B50/$J$14)</f>
        <v>0</v>
      </c>
      <c r="E50" s="200"/>
      <c r="F50" s="201">
        <f>IF($F$5=0,(B50/($H$6/1000)),B50/$M$416)</f>
        <v>0</v>
      </c>
      <c r="G50" s="202">
        <f>B50/$B$313</f>
        <v>0</v>
      </c>
      <c r="H50" s="203">
        <f>J50*$H$1*$S$15</f>
        <v>0</v>
      </c>
      <c r="I50" s="83" t="s">
        <v>144</v>
      </c>
      <c r="J50" s="160">
        <v>0</v>
      </c>
      <c r="K50" s="6">
        <v>0</v>
      </c>
      <c r="L50" s="213" t="str">
        <f t="shared" ref="L50:L51" si="55">CONCATENATE("/ ",I50)</f>
        <v>/ lb</v>
      </c>
      <c r="M50" s="203">
        <f>IF($H$1&gt;0,H50/$H$1,0)</f>
        <v>0</v>
      </c>
      <c r="N50" s="83">
        <v>0</v>
      </c>
      <c r="O50" s="204">
        <f>$K$5-$U$17</f>
        <v>9</v>
      </c>
      <c r="P50" s="83" t="s">
        <v>75</v>
      </c>
      <c r="Q50" s="83" t="s">
        <v>75</v>
      </c>
      <c r="R50" s="193">
        <f t="shared" ref="R50" si="56">J50*K50</f>
        <v>0</v>
      </c>
      <c r="S50" s="83" t="s">
        <v>75</v>
      </c>
      <c r="T50" s="13" t="s">
        <v>426</v>
      </c>
      <c r="U50" s="13" t="s">
        <v>427</v>
      </c>
      <c r="W50" s="83">
        <v>0.125</v>
      </c>
      <c r="X50" s="55">
        <v>188</v>
      </c>
      <c r="Y50" s="30">
        <f>X50/(W50*$T$47)</f>
        <v>109.78102189781022</v>
      </c>
      <c r="Z50" s="11"/>
      <c r="AB50" s="145"/>
    </row>
    <row r="51" spans="1:28" ht="18" customHeight="1" x14ac:dyDescent="0.4">
      <c r="A51" s="85" t="s">
        <v>396</v>
      </c>
      <c r="B51" s="199">
        <f>((H51*K51)/O51)*N51</f>
        <v>3.5664059889044841</v>
      </c>
      <c r="C51" s="200"/>
      <c r="D51" s="201">
        <f t="shared" si="54"/>
        <v>21.697296770485945</v>
      </c>
      <c r="E51" s="200"/>
      <c r="F51" s="201">
        <f>IF($F$5=0,(B51/($H$6/1000)),B51/$M$416)</f>
        <v>0.49810139509839174</v>
      </c>
      <c r="G51" s="219">
        <f>B51/$B$313</f>
        <v>7.1876625317865211E-3</v>
      </c>
      <c r="H51" s="203">
        <f>U51*$U$16</f>
        <v>366.39999999999992</v>
      </c>
      <c r="I51" s="83" t="s">
        <v>399</v>
      </c>
      <c r="J51" s="83" t="s">
        <v>75</v>
      </c>
      <c r="K51" s="193">
        <f>V55</f>
        <v>8.7602767194706235E-2</v>
      </c>
      <c r="L51" s="213" t="str">
        <f t="shared" si="55"/>
        <v>/ cup</v>
      </c>
      <c r="M51" s="203">
        <f>IF($H$1&gt;0,H51/$H$1,0)</f>
        <v>2229.1039106145254</v>
      </c>
      <c r="N51" s="83">
        <v>1</v>
      </c>
      <c r="O51" s="204">
        <f>$K$5-$U$17</f>
        <v>9</v>
      </c>
      <c r="P51" s="83" t="s">
        <v>75</v>
      </c>
      <c r="Q51" s="83" t="s">
        <v>75</v>
      </c>
      <c r="R51" s="193">
        <f>M51*V55</f>
        <v>195.27567093437352</v>
      </c>
      <c r="S51" s="223">
        <f>U51*U4</f>
        <v>24</v>
      </c>
      <c r="T51" s="83">
        <v>2</v>
      </c>
      <c r="U51" s="29">
        <f>T51/AA4</f>
        <v>0.08</v>
      </c>
      <c r="W51" s="162">
        <f>1000/43560</f>
        <v>2.2956841138659319E-2</v>
      </c>
      <c r="X51" s="55">
        <v>46</v>
      </c>
      <c r="Y51" s="30">
        <f>X51/(W51*$T$47)</f>
        <v>146.25985401459855</v>
      </c>
      <c r="Z51" s="21">
        <f>SUM(B50:B51)</f>
        <v>3.5664059889044841</v>
      </c>
      <c r="AA51" s="21">
        <f>SUM(D50:D51)</f>
        <v>21.697296770485945</v>
      </c>
      <c r="AB51" s="74" t="s">
        <v>397</v>
      </c>
    </row>
    <row r="52" spans="1:28" s="672" customFormat="1" ht="18" customHeight="1" x14ac:dyDescent="0.4">
      <c r="A52" s="674" t="s">
        <v>716</v>
      </c>
      <c r="B52" s="11"/>
      <c r="C52" s="9"/>
      <c r="D52" s="11"/>
      <c r="E52" s="9"/>
      <c r="F52" s="11"/>
      <c r="G52" s="157"/>
      <c r="H52" s="13" t="s">
        <v>232</v>
      </c>
      <c r="I52" s="13" t="s">
        <v>143</v>
      </c>
      <c r="J52" s="13" t="s">
        <v>202</v>
      </c>
      <c r="K52" s="13" t="s">
        <v>172</v>
      </c>
      <c r="L52" s="18" t="s">
        <v>147</v>
      </c>
      <c r="M52" s="13" t="s">
        <v>165</v>
      </c>
      <c r="N52" s="13" t="s">
        <v>82</v>
      </c>
      <c r="O52" s="13" t="s">
        <v>79</v>
      </c>
      <c r="P52" s="13" t="s">
        <v>73</v>
      </c>
      <c r="Q52" s="13" t="s">
        <v>74</v>
      </c>
      <c r="R52" s="13" t="s">
        <v>242</v>
      </c>
      <c r="S52" s="13" t="s">
        <v>342</v>
      </c>
      <c r="T52" s="679"/>
      <c r="U52" s="679"/>
      <c r="V52" s="673"/>
      <c r="W52" s="680"/>
      <c r="X52" s="671"/>
      <c r="Y52" s="681"/>
      <c r="Z52" s="682"/>
      <c r="AA52" s="682"/>
      <c r="AB52" s="683"/>
    </row>
    <row r="53" spans="1:28" s="672" customFormat="1" ht="18" customHeight="1" x14ac:dyDescent="0.4">
      <c r="A53" s="677" t="s">
        <v>717</v>
      </c>
      <c r="B53" s="19">
        <f>((H53*K53)/O53)*N53</f>
        <v>0</v>
      </c>
      <c r="C53" s="9"/>
      <c r="D53" s="20">
        <f>IF($D$5=0,B53/$H$5,B53/$J$14)</f>
        <v>0</v>
      </c>
      <c r="E53" s="9"/>
      <c r="F53" s="81">
        <f>IF($F$5=0,(B53/($H$6/1000)),B53/$M$416)</f>
        <v>0</v>
      </c>
      <c r="G53" s="71">
        <f>B53/$B$313</f>
        <v>0</v>
      </c>
      <c r="H53" s="60">
        <f>J53*$H$1*M6</f>
        <v>0</v>
      </c>
      <c r="I53" s="83" t="s">
        <v>714</v>
      </c>
      <c r="J53" s="29">
        <f>T53</f>
        <v>100</v>
      </c>
      <c r="K53" s="6">
        <v>7</v>
      </c>
      <c r="L53" s="10" t="str">
        <f>CONCATENATE("/ ",I53)</f>
        <v>/ bale</v>
      </c>
      <c r="M53" s="29">
        <f>H53/$H$5</f>
        <v>0</v>
      </c>
      <c r="N53" s="29">
        <f>M6</f>
        <v>0</v>
      </c>
      <c r="O53" s="83">
        <v>1</v>
      </c>
      <c r="P53" s="83" t="s">
        <v>75</v>
      </c>
      <c r="Q53" s="83" t="s">
        <v>75</v>
      </c>
      <c r="R53" s="75">
        <f>J53*K53</f>
        <v>700</v>
      </c>
      <c r="S53" s="83">
        <v>0</v>
      </c>
      <c r="T53" s="676">
        <v>100</v>
      </c>
      <c r="U53" s="10" t="s">
        <v>715</v>
      </c>
      <c r="V53" s="673"/>
      <c r="W53" s="680"/>
      <c r="X53" s="671"/>
      <c r="Y53" s="681"/>
      <c r="Z53" s="682"/>
      <c r="AA53" s="682"/>
      <c r="AB53" s="683"/>
    </row>
    <row r="54" spans="1:28" ht="18" customHeight="1" x14ac:dyDescent="0.4">
      <c r="A54" s="24" t="s">
        <v>731</v>
      </c>
      <c r="B54" s="28"/>
      <c r="C54" s="9"/>
      <c r="D54" s="17"/>
      <c r="E54" s="9"/>
      <c r="F54" s="17"/>
      <c r="G54" s="70"/>
      <c r="H54" s="13" t="s">
        <v>232</v>
      </c>
      <c r="I54" s="13" t="s">
        <v>143</v>
      </c>
      <c r="J54" s="13" t="s">
        <v>82</v>
      </c>
      <c r="K54" s="13" t="s">
        <v>172</v>
      </c>
      <c r="L54" s="18" t="s">
        <v>147</v>
      </c>
      <c r="M54" s="13" t="s">
        <v>157</v>
      </c>
      <c r="N54" s="13" t="s">
        <v>83</v>
      </c>
      <c r="O54" s="13" t="s">
        <v>79</v>
      </c>
      <c r="P54" s="13" t="s">
        <v>73</v>
      </c>
      <c r="Q54" s="13" t="s">
        <v>74</v>
      </c>
      <c r="R54" s="13" t="s">
        <v>249</v>
      </c>
      <c r="S54" s="13" t="s">
        <v>342</v>
      </c>
      <c r="T54" s="13" t="s">
        <v>423</v>
      </c>
      <c r="U54" s="13" t="s">
        <v>424</v>
      </c>
      <c r="V54" s="13" t="s">
        <v>425</v>
      </c>
      <c r="W54" s="162">
        <f>500/43560</f>
        <v>1.1478420569329659E-2</v>
      </c>
      <c r="X54" s="55">
        <v>28</v>
      </c>
      <c r="Y54" s="30">
        <f>X54/(W54*$T$47)</f>
        <v>178.05547445255476</v>
      </c>
      <c r="Z54" s="11"/>
      <c r="AB54" s="145"/>
    </row>
    <row r="55" spans="1:28" ht="18" customHeight="1" x14ac:dyDescent="0.4">
      <c r="A55" s="185" t="s">
        <v>435</v>
      </c>
      <c r="B55" s="199">
        <f t="shared" ref="B55:B62" si="57">((H55*K55)/O55)*J55</f>
        <v>12</v>
      </c>
      <c r="C55" s="200"/>
      <c r="D55" s="201">
        <f t="shared" ref="D55:D56" si="58">IF($D$5=0,B55/$H$5,B55/$J$14)</f>
        <v>73.005586592178787</v>
      </c>
      <c r="E55" s="200"/>
      <c r="F55" s="201">
        <f t="shared" ref="F55:F62" si="59">IF($F$5=0,(B55/($H$6/1000)),B55/$M$416)</f>
        <v>1.6759776536312854</v>
      </c>
      <c r="G55" s="219">
        <f t="shared" ref="G55:G62" si="60">B55/$B$313</f>
        <v>2.4184557408712972E-2</v>
      </c>
      <c r="H55" s="83">
        <f>8*5</f>
        <v>40</v>
      </c>
      <c r="I55" s="204" t="str">
        <f t="shared" ref="I55:I62" si="61">$K$2</f>
        <v xml:space="preserve">hour </v>
      </c>
      <c r="J55" s="83">
        <v>1</v>
      </c>
      <c r="K55" s="193">
        <f t="shared" ref="K55:K62" si="62">$M$2</f>
        <v>15</v>
      </c>
      <c r="L55" s="213" t="str">
        <f t="shared" ref="L55:L62" si="63">CONCATENATE("/ ",I55)</f>
        <v xml:space="preserve">/ hour </v>
      </c>
      <c r="M55" s="204" t="s">
        <v>136</v>
      </c>
      <c r="N55" s="83">
        <v>1</v>
      </c>
      <c r="O55" s="83">
        <v>50</v>
      </c>
      <c r="P55" s="83" t="s">
        <v>75</v>
      </c>
      <c r="Q55" s="83" t="s">
        <v>75</v>
      </c>
      <c r="R55" s="204" t="s">
        <v>136</v>
      </c>
      <c r="S55" s="83">
        <v>40</v>
      </c>
      <c r="T55" s="83">
        <v>119.688</v>
      </c>
      <c r="U55" s="6">
        <f>20.97/2</f>
        <v>10.484999999999999</v>
      </c>
      <c r="V55" s="195">
        <f>U55/T55</f>
        <v>8.7602767194706235E-2</v>
      </c>
      <c r="W55" s="320"/>
    </row>
    <row r="56" spans="1:28" ht="18" customHeight="1" x14ac:dyDescent="0.4">
      <c r="A56" s="211" t="s">
        <v>250</v>
      </c>
      <c r="B56" s="159">
        <f t="shared" si="57"/>
        <v>0</v>
      </c>
      <c r="C56" s="80"/>
      <c r="D56" s="81">
        <f t="shared" si="58"/>
        <v>0</v>
      </c>
      <c r="E56" s="80"/>
      <c r="F56" s="81">
        <f t="shared" si="59"/>
        <v>0</v>
      </c>
      <c r="G56" s="243">
        <f t="shared" si="60"/>
        <v>0</v>
      </c>
      <c r="H56" s="61">
        <f>IF(SUM($H$3:$H$4)&gt;0,S56,0)</f>
        <v>0</v>
      </c>
      <c r="I56" s="29" t="str">
        <f t="shared" si="61"/>
        <v xml:space="preserve">hour </v>
      </c>
      <c r="J56" s="83">
        <v>0</v>
      </c>
      <c r="K56" s="30">
        <f t="shared" si="62"/>
        <v>15</v>
      </c>
      <c r="L56" s="150" t="str">
        <f t="shared" si="63"/>
        <v xml:space="preserve">/ hour </v>
      </c>
      <c r="M56" s="29" t="s">
        <v>136</v>
      </c>
      <c r="N56" s="83">
        <v>1</v>
      </c>
      <c r="O56" s="83">
        <v>50</v>
      </c>
      <c r="P56" s="83">
        <v>0.5</v>
      </c>
      <c r="Q56" s="83">
        <v>2</v>
      </c>
      <c r="R56" s="29" t="s">
        <v>136</v>
      </c>
      <c r="S56" s="83">
        <v>1</v>
      </c>
    </row>
    <row r="57" spans="1:28" ht="18" customHeight="1" x14ac:dyDescent="0.4">
      <c r="A57" s="185" t="s">
        <v>250</v>
      </c>
      <c r="B57" s="205">
        <f t="shared" si="57"/>
        <v>0.3</v>
      </c>
      <c r="C57" s="200"/>
      <c r="D57" s="201">
        <f t="shared" ref="D57:D62" si="64">IF($D$5=0,B57/$H$5,B57/$J$14)</f>
        <v>1.8251396648044698</v>
      </c>
      <c r="E57" s="200"/>
      <c r="F57" s="201">
        <f t="shared" si="59"/>
        <v>4.1899441340782134E-2</v>
      </c>
      <c r="G57" s="242">
        <f t="shared" si="60"/>
        <v>6.0461393521782424E-4</v>
      </c>
      <c r="H57" s="223">
        <f>IF($H$1&gt;0,S57,0)</f>
        <v>1</v>
      </c>
      <c r="I57" s="204" t="str">
        <f t="shared" si="61"/>
        <v xml:space="preserve">hour </v>
      </c>
      <c r="J57" s="83">
        <v>1</v>
      </c>
      <c r="K57" s="193">
        <f t="shared" si="62"/>
        <v>15</v>
      </c>
      <c r="L57" s="213" t="str">
        <f t="shared" si="63"/>
        <v xml:space="preserve">/ hour </v>
      </c>
      <c r="M57" s="204" t="s">
        <v>136</v>
      </c>
      <c r="N57" s="83">
        <v>1</v>
      </c>
      <c r="O57" s="83">
        <v>50</v>
      </c>
      <c r="P57" s="83">
        <v>0.5</v>
      </c>
      <c r="Q57" s="83">
        <v>2</v>
      </c>
      <c r="R57" s="204" t="s">
        <v>136</v>
      </c>
      <c r="S57" s="83">
        <v>1</v>
      </c>
    </row>
    <row r="58" spans="1:28" ht="18" customHeight="1" x14ac:dyDescent="0.4">
      <c r="A58" s="211" t="s">
        <v>251</v>
      </c>
      <c r="B58" s="159">
        <f t="shared" si="57"/>
        <v>0</v>
      </c>
      <c r="C58" s="80"/>
      <c r="D58" s="81">
        <f t="shared" ref="D58" si="65">IF($D$5=0,B58/$H$5,B58/$J$14)</f>
        <v>0</v>
      </c>
      <c r="E58" s="80"/>
      <c r="F58" s="81">
        <f t="shared" si="59"/>
        <v>0</v>
      </c>
      <c r="G58" s="243">
        <f t="shared" si="60"/>
        <v>0</v>
      </c>
      <c r="H58" s="61">
        <f>(S58/$AE$4)*(SUM($H$3:$H$4))</f>
        <v>0</v>
      </c>
      <c r="I58" s="29" t="str">
        <f t="shared" si="61"/>
        <v xml:space="preserve">hour </v>
      </c>
      <c r="J58" s="83">
        <v>0</v>
      </c>
      <c r="K58" s="30">
        <f t="shared" si="62"/>
        <v>15</v>
      </c>
      <c r="L58" s="150" t="str">
        <f t="shared" si="63"/>
        <v xml:space="preserve">/ hour </v>
      </c>
      <c r="M58" s="29" t="s">
        <v>136</v>
      </c>
      <c r="N58" s="83">
        <v>1</v>
      </c>
      <c r="O58" s="29">
        <f>$K$5</f>
        <v>10</v>
      </c>
      <c r="P58" s="162">
        <f>20/60</f>
        <v>0.33333333333333331</v>
      </c>
      <c r="Q58" s="83">
        <v>1</v>
      </c>
      <c r="R58" s="29" t="s">
        <v>136</v>
      </c>
      <c r="S58" s="84">
        <f>40/60</f>
        <v>0.66666666666666663</v>
      </c>
      <c r="T58" s="60"/>
      <c r="U58" s="60"/>
      <c r="V58" s="60"/>
      <c r="W58" s="321"/>
    </row>
    <row r="59" spans="1:28" ht="18" customHeight="1" x14ac:dyDescent="0.4">
      <c r="A59" s="185" t="s">
        <v>251</v>
      </c>
      <c r="B59" s="199">
        <f t="shared" si="57"/>
        <v>1.446464646464646</v>
      </c>
      <c r="C59" s="200"/>
      <c r="D59" s="201">
        <f t="shared" si="64"/>
        <v>8.7999999999999989</v>
      </c>
      <c r="E59" s="200"/>
      <c r="F59" s="201">
        <f t="shared" si="59"/>
        <v>0.20202020202020199</v>
      </c>
      <c r="G59" s="219">
        <f t="shared" si="60"/>
        <v>2.9151756068414953E-3</v>
      </c>
      <c r="H59" s="208">
        <f>(S59/$AE$4)*$H$1</f>
        <v>0.96430976430976401</v>
      </c>
      <c r="I59" s="204" t="str">
        <f t="shared" si="61"/>
        <v xml:space="preserve">hour </v>
      </c>
      <c r="J59" s="83">
        <v>1</v>
      </c>
      <c r="K59" s="193">
        <f t="shared" si="62"/>
        <v>15</v>
      </c>
      <c r="L59" s="213" t="str">
        <f t="shared" si="63"/>
        <v xml:space="preserve">/ hour </v>
      </c>
      <c r="M59" s="204" t="s">
        <v>136</v>
      </c>
      <c r="N59" s="83">
        <v>1</v>
      </c>
      <c r="O59" s="204">
        <f>$K$5</f>
        <v>10</v>
      </c>
      <c r="P59" s="162">
        <f>20/60</f>
        <v>0.33333333333333331</v>
      </c>
      <c r="Q59" s="83">
        <v>1</v>
      </c>
      <c r="R59" s="204" t="s">
        <v>136</v>
      </c>
      <c r="S59" s="84">
        <f>40/60</f>
        <v>0.66666666666666663</v>
      </c>
      <c r="T59" s="60"/>
      <c r="U59" s="60"/>
      <c r="V59" s="60"/>
      <c r="W59" s="321"/>
    </row>
    <row r="60" spans="1:28" ht="18" customHeight="1" x14ac:dyDescent="0.4">
      <c r="A60" s="158" t="s">
        <v>252</v>
      </c>
      <c r="B60" s="159">
        <f t="shared" si="57"/>
        <v>0</v>
      </c>
      <c r="C60" s="9"/>
      <c r="D60" s="20">
        <f t="shared" si="64"/>
        <v>0</v>
      </c>
      <c r="E60" s="9"/>
      <c r="F60" s="81">
        <f t="shared" si="59"/>
        <v>0</v>
      </c>
      <c r="G60" s="71">
        <f t="shared" si="60"/>
        <v>0</v>
      </c>
      <c r="H60" s="61">
        <f>(S60/$AE$4)*(SUM($H$3:$H$4))</f>
        <v>0</v>
      </c>
      <c r="I60" s="29" t="str">
        <f t="shared" si="61"/>
        <v xml:space="preserve">hour </v>
      </c>
      <c r="J60" s="83">
        <v>0</v>
      </c>
      <c r="K60" s="30">
        <f t="shared" si="62"/>
        <v>15</v>
      </c>
      <c r="L60" s="10" t="str">
        <f t="shared" si="63"/>
        <v xml:space="preserve">/ hour </v>
      </c>
      <c r="M60" s="29" t="s">
        <v>136</v>
      </c>
      <c r="N60" s="83">
        <v>1</v>
      </c>
      <c r="O60" s="29">
        <f>$K$5</f>
        <v>10</v>
      </c>
      <c r="P60" s="162">
        <f>5/60</f>
        <v>8.3333333333333329E-2</v>
      </c>
      <c r="Q60" s="83">
        <f>30/60</f>
        <v>0.5</v>
      </c>
      <c r="R60" s="29" t="s">
        <v>136</v>
      </c>
      <c r="S60" s="84">
        <f>17.5/60</f>
        <v>0.29166666666666669</v>
      </c>
      <c r="T60" s="60"/>
      <c r="U60" s="60"/>
      <c r="V60" s="60"/>
      <c r="W60" s="321"/>
    </row>
    <row r="61" spans="1:28" ht="18" customHeight="1" x14ac:dyDescent="0.4">
      <c r="A61" s="185" t="s">
        <v>378</v>
      </c>
      <c r="B61" s="199">
        <f t="shared" si="57"/>
        <v>1.5</v>
      </c>
      <c r="C61" s="200"/>
      <c r="D61" s="201">
        <f t="shared" ref="D61" si="66">IF($D$5=0,B61/$H$5,B61/$J$14)</f>
        <v>9.1256983240223484</v>
      </c>
      <c r="E61" s="200"/>
      <c r="F61" s="201">
        <f t="shared" si="59"/>
        <v>0.20949720670391067</v>
      </c>
      <c r="G61" s="219">
        <f t="shared" si="60"/>
        <v>3.0230696760891215E-3</v>
      </c>
      <c r="H61" s="223">
        <f>IF($H$1&gt;0,S61,0)</f>
        <v>1</v>
      </c>
      <c r="I61" s="204" t="str">
        <f t="shared" si="61"/>
        <v xml:space="preserve">hour </v>
      </c>
      <c r="J61" s="83">
        <v>1</v>
      </c>
      <c r="K61" s="193">
        <f t="shared" si="62"/>
        <v>15</v>
      </c>
      <c r="L61" s="213" t="str">
        <f t="shared" si="63"/>
        <v xml:space="preserve">/ hour </v>
      </c>
      <c r="M61" s="204" t="s">
        <v>136</v>
      </c>
      <c r="N61" s="83">
        <v>1</v>
      </c>
      <c r="O61" s="204">
        <f>$K$5</f>
        <v>10</v>
      </c>
      <c r="P61" s="162">
        <f>5/60</f>
        <v>8.3333333333333329E-2</v>
      </c>
      <c r="Q61" s="83">
        <f>30/60</f>
        <v>0.5</v>
      </c>
      <c r="R61" s="204" t="s">
        <v>136</v>
      </c>
      <c r="S61" s="83">
        <v>1</v>
      </c>
      <c r="T61" s="61"/>
      <c r="U61" s="61"/>
      <c r="V61" s="61"/>
      <c r="W61" s="322"/>
    </row>
    <row r="62" spans="1:28" ht="18" customHeight="1" x14ac:dyDescent="0.4">
      <c r="A62" s="158" t="s">
        <v>253</v>
      </c>
      <c r="B62" s="159">
        <f t="shared" si="57"/>
        <v>0</v>
      </c>
      <c r="C62" s="9"/>
      <c r="D62" s="20">
        <f t="shared" si="64"/>
        <v>0</v>
      </c>
      <c r="E62" s="9"/>
      <c r="F62" s="81">
        <f t="shared" si="59"/>
        <v>0</v>
      </c>
      <c r="G62" s="71">
        <f t="shared" si="60"/>
        <v>0</v>
      </c>
      <c r="H62" s="29">
        <f>IF(beepasture&gt;0,S62,0)</f>
        <v>4.5</v>
      </c>
      <c r="I62" s="29" t="str">
        <f t="shared" si="61"/>
        <v xml:space="preserve">hour </v>
      </c>
      <c r="J62" s="83">
        <v>0</v>
      </c>
      <c r="K62" s="30">
        <f t="shared" si="62"/>
        <v>15</v>
      </c>
      <c r="L62" s="10" t="str">
        <f t="shared" si="63"/>
        <v xml:space="preserve">/ hour </v>
      </c>
      <c r="M62" s="29" t="s">
        <v>136</v>
      </c>
      <c r="N62" s="83">
        <v>1</v>
      </c>
      <c r="O62" s="29">
        <f>$K$5</f>
        <v>10</v>
      </c>
      <c r="P62" s="83">
        <v>1</v>
      </c>
      <c r="Q62" s="83">
        <v>8</v>
      </c>
      <c r="R62" s="29" t="s">
        <v>136</v>
      </c>
      <c r="S62" s="83">
        <v>4.5</v>
      </c>
      <c r="T62" s="29"/>
      <c r="U62" s="29"/>
      <c r="V62" s="29"/>
      <c r="W62" s="318"/>
    </row>
    <row r="63" spans="1:28" ht="18" customHeight="1" x14ac:dyDescent="0.4">
      <c r="A63" s="27" t="s">
        <v>254</v>
      </c>
      <c r="B63" s="28"/>
      <c r="C63" s="9"/>
      <c r="D63" s="17"/>
      <c r="E63" s="9"/>
      <c r="F63" s="17"/>
      <c r="G63" s="70"/>
      <c r="H63" s="13" t="s">
        <v>232</v>
      </c>
      <c r="I63" s="13" t="s">
        <v>143</v>
      </c>
      <c r="J63" s="13" t="s">
        <v>82</v>
      </c>
      <c r="K63" s="13" t="s">
        <v>172</v>
      </c>
      <c r="L63" s="18" t="s">
        <v>147</v>
      </c>
      <c r="M63" s="13" t="s">
        <v>157</v>
      </c>
      <c r="N63" s="13" t="s">
        <v>83</v>
      </c>
      <c r="O63" s="13" t="s">
        <v>79</v>
      </c>
      <c r="P63" s="13" t="s">
        <v>73</v>
      </c>
      <c r="Q63" s="13" t="s">
        <v>74</v>
      </c>
      <c r="R63" s="13" t="s">
        <v>249</v>
      </c>
      <c r="S63" s="13" t="s">
        <v>342</v>
      </c>
      <c r="U63" s="187"/>
      <c r="V63" s="187"/>
      <c r="W63" s="314"/>
    </row>
    <row r="64" spans="1:28" ht="18" customHeight="1" x14ac:dyDescent="0.4">
      <c r="A64" s="27" t="s">
        <v>255</v>
      </c>
      <c r="B64" s="19">
        <f t="shared" ref="B64:B83" si="67">((H64*K64)/O64)</f>
        <v>0</v>
      </c>
      <c r="C64" s="9"/>
      <c r="D64" s="20">
        <f t="shared" ref="D64:D83" si="68">IF($D$5=0,B64/$H$5,B64/$J$14)</f>
        <v>0</v>
      </c>
      <c r="E64" s="9"/>
      <c r="F64" s="81">
        <f t="shared" ref="F64:F83" si="69">IF($F$5=0,(B64/($H$6/1000)),B64/$M$416)</f>
        <v>0</v>
      </c>
      <c r="G64" s="71">
        <f t="shared" ref="G64:G83" si="70">B64/$B$313</f>
        <v>0</v>
      </c>
      <c r="H64" s="83">
        <v>0</v>
      </c>
      <c r="I64" s="29" t="str">
        <f t="shared" ref="I64:I83" si="71">$K$2</f>
        <v xml:space="preserve">hour </v>
      </c>
      <c r="J64" s="83">
        <v>0</v>
      </c>
      <c r="K64" s="30">
        <f t="shared" ref="K64:K83" si="72">$M$2</f>
        <v>15</v>
      </c>
      <c r="L64" s="10" t="str">
        <f t="shared" ref="L64:L83" si="73">CONCATENATE("/ ",I64)</f>
        <v xml:space="preserve">/ hour </v>
      </c>
      <c r="M64" s="83">
        <v>0</v>
      </c>
      <c r="N64" s="83">
        <v>0</v>
      </c>
      <c r="O64" s="29">
        <f>$K$5</f>
        <v>10</v>
      </c>
      <c r="P64" s="83" t="s">
        <v>75</v>
      </c>
      <c r="Q64" s="83" t="s">
        <v>75</v>
      </c>
      <c r="R64" s="29" t="s">
        <v>136</v>
      </c>
      <c r="S64" s="29" t="s">
        <v>136</v>
      </c>
      <c r="T64" s="13" t="s">
        <v>448</v>
      </c>
      <c r="U64" s="29"/>
      <c r="V64" s="29"/>
      <c r="W64" s="318"/>
    </row>
    <row r="65" spans="1:24" ht="18" customHeight="1" x14ac:dyDescent="0.4">
      <c r="A65" s="185" t="s">
        <v>380</v>
      </c>
      <c r="B65" s="199">
        <f t="shared" ref="B65" si="74">((H65*K65)/O65)</f>
        <v>0</v>
      </c>
      <c r="C65" s="200"/>
      <c r="D65" s="201">
        <f t="shared" ref="D65" si="75">IF($D$5=0,B65/$H$5,B65/$J$14)</f>
        <v>0</v>
      </c>
      <c r="E65" s="200"/>
      <c r="F65" s="201">
        <f t="shared" si="69"/>
        <v>0</v>
      </c>
      <c r="G65" s="219">
        <f t="shared" si="70"/>
        <v>0</v>
      </c>
      <c r="H65" s="222">
        <f>IF($S$2=1,M65*$H$1*N65*J65,0)</f>
        <v>0</v>
      </c>
      <c r="I65" s="204" t="str">
        <f t="shared" si="71"/>
        <v xml:space="preserve">hour </v>
      </c>
      <c r="J65" s="83">
        <v>1</v>
      </c>
      <c r="K65" s="193">
        <f t="shared" si="72"/>
        <v>15</v>
      </c>
      <c r="L65" s="213" t="str">
        <f t="shared" ref="L65" si="76">CONCATENATE("/ ",I65)</f>
        <v xml:space="preserve">/ hour </v>
      </c>
      <c r="M65" s="83">
        <v>10</v>
      </c>
      <c r="N65" s="83">
        <v>1</v>
      </c>
      <c r="O65" s="204">
        <f>$K$5</f>
        <v>10</v>
      </c>
      <c r="P65" s="83" t="s">
        <v>75</v>
      </c>
      <c r="Q65" s="83" t="s">
        <v>75</v>
      </c>
      <c r="R65" s="83" t="s">
        <v>75</v>
      </c>
      <c r="S65" s="204" t="s">
        <v>136</v>
      </c>
      <c r="T65" s="83">
        <v>0</v>
      </c>
      <c r="U65" s="60"/>
      <c r="V65" s="60"/>
      <c r="W65" s="321"/>
    </row>
    <row r="66" spans="1:24" ht="18" customHeight="1" x14ac:dyDescent="0.4">
      <c r="A66" s="185" t="s">
        <v>381</v>
      </c>
      <c r="B66" s="199">
        <f t="shared" ref="B66" si="77">((H66*K66)/O66)</f>
        <v>8.5555555555555323</v>
      </c>
      <c r="C66" s="200"/>
      <c r="D66" s="201">
        <f t="shared" ref="D66" si="78">IF($D$5=0,B66/$H$5,B66/$J$14)</f>
        <v>52.050279329608813</v>
      </c>
      <c r="E66" s="200"/>
      <c r="F66" s="201">
        <f t="shared" si="69"/>
        <v>1.1949099937926724</v>
      </c>
      <c r="G66" s="202">
        <f t="shared" si="70"/>
        <v>1.724269370806383E-2</v>
      </c>
      <c r="H66" s="222">
        <f>M66*$T$9*N66*J66</f>
        <v>5.7037037037036882</v>
      </c>
      <c r="I66" s="204" t="str">
        <f t="shared" si="71"/>
        <v xml:space="preserve">hour </v>
      </c>
      <c r="J66" s="83">
        <v>1</v>
      </c>
      <c r="K66" s="193">
        <f t="shared" si="72"/>
        <v>15</v>
      </c>
      <c r="L66" s="213" t="str">
        <f t="shared" ref="L66" si="79">CONCATENATE("/ ",I66)</f>
        <v xml:space="preserve">/ hour </v>
      </c>
      <c r="M66" s="204">
        <f>(T66/60)*(43560/$U$4)</f>
        <v>84.7</v>
      </c>
      <c r="N66" s="83">
        <v>2</v>
      </c>
      <c r="O66" s="204">
        <f>$K$5</f>
        <v>10</v>
      </c>
      <c r="P66" s="83" t="s">
        <v>75</v>
      </c>
      <c r="Q66" s="83" t="s">
        <v>75</v>
      </c>
      <c r="R66" s="83" t="s">
        <v>75</v>
      </c>
      <c r="S66" s="204" t="s">
        <v>136</v>
      </c>
      <c r="T66" s="83">
        <f>15+10+10</f>
        <v>35</v>
      </c>
      <c r="U66" s="60"/>
      <c r="V66" s="60"/>
      <c r="W66" s="321"/>
    </row>
    <row r="67" spans="1:24" ht="18" customHeight="1" x14ac:dyDescent="0.4">
      <c r="A67" s="158" t="s">
        <v>256</v>
      </c>
      <c r="B67" s="159">
        <f t="shared" si="67"/>
        <v>0</v>
      </c>
      <c r="C67" s="9"/>
      <c r="D67" s="20">
        <f t="shared" si="68"/>
        <v>0</v>
      </c>
      <c r="E67" s="9"/>
      <c r="F67" s="81">
        <f t="shared" si="69"/>
        <v>0</v>
      </c>
      <c r="G67" s="71">
        <f t="shared" si="70"/>
        <v>0</v>
      </c>
      <c r="H67" s="83">
        <v>0</v>
      </c>
      <c r="I67" s="29" t="str">
        <f t="shared" si="71"/>
        <v xml:space="preserve">hour </v>
      </c>
      <c r="J67" s="83">
        <v>0</v>
      </c>
      <c r="K67" s="30">
        <f t="shared" si="72"/>
        <v>15</v>
      </c>
      <c r="L67" s="10" t="str">
        <f t="shared" si="73"/>
        <v xml:space="preserve">/ hour </v>
      </c>
      <c r="M67" s="29">
        <f>S67/$AE$4</f>
        <v>4.4000000000000004</v>
      </c>
      <c r="N67" s="83">
        <v>1</v>
      </c>
      <c r="O67" s="29">
        <f>$K$5</f>
        <v>10</v>
      </c>
      <c r="P67" s="83" t="s">
        <v>75</v>
      </c>
      <c r="Q67" s="83" t="s">
        <v>75</v>
      </c>
      <c r="R67" s="83">
        <v>30</v>
      </c>
      <c r="S67" s="60">
        <f>(R67/60)</f>
        <v>0.5</v>
      </c>
      <c r="T67" s="13" t="s">
        <v>443</v>
      </c>
      <c r="U67" s="13" t="s">
        <v>444</v>
      </c>
      <c r="V67" s="61"/>
      <c r="W67" s="13" t="s">
        <v>445</v>
      </c>
      <c r="X67" s="13" t="s">
        <v>157</v>
      </c>
    </row>
    <row r="68" spans="1:24" ht="18" customHeight="1" x14ac:dyDescent="0.4">
      <c r="A68" s="185" t="s">
        <v>506</v>
      </c>
      <c r="B68" s="205">
        <f t="shared" si="67"/>
        <v>0</v>
      </c>
      <c r="C68" s="200"/>
      <c r="D68" s="201">
        <f t="shared" si="68"/>
        <v>0</v>
      </c>
      <c r="E68" s="200"/>
      <c r="F68" s="201">
        <f t="shared" si="69"/>
        <v>0</v>
      </c>
      <c r="G68" s="219">
        <f t="shared" si="70"/>
        <v>0</v>
      </c>
      <c r="H68" s="222">
        <f>M68*($T$9*$AD$9)*N68*J68</f>
        <v>0</v>
      </c>
      <c r="I68" s="204" t="str">
        <f t="shared" si="71"/>
        <v xml:space="preserve">hour </v>
      </c>
      <c r="J68" s="83">
        <v>1</v>
      </c>
      <c r="K68" s="193">
        <f t="shared" si="72"/>
        <v>15</v>
      </c>
      <c r="L68" s="213" t="str">
        <f t="shared" si="73"/>
        <v xml:space="preserve">/ hour </v>
      </c>
      <c r="M68" s="222">
        <f t="shared" ref="M68" si="80">S68/$AE$4</f>
        <v>22.468085106382979</v>
      </c>
      <c r="N68" s="83">
        <v>1</v>
      </c>
      <c r="O68" s="204">
        <f t="shared" ref="O68:O79" si="81">$K$5</f>
        <v>10</v>
      </c>
      <c r="P68" s="83" t="s">
        <v>75</v>
      </c>
      <c r="Q68" s="83" t="s">
        <v>75</v>
      </c>
      <c r="R68" s="222">
        <f t="shared" ref="R68:R79" si="82">(W68*60)*(43560*$AE$4)</f>
        <v>153.19148936170214</v>
      </c>
      <c r="S68" s="222">
        <f t="shared" ref="S68" si="83">(R68/60)</f>
        <v>2.5531914893617023</v>
      </c>
      <c r="T68" s="4">
        <f>6*60</f>
        <v>360</v>
      </c>
      <c r="U68" s="4">
        <f>46530*0.25</f>
        <v>11632.5</v>
      </c>
      <c r="V68" s="10" t="s">
        <v>393</v>
      </c>
      <c r="W68" s="244">
        <f t="shared" ref="W68:W79" si="84">(T68/60)/U68</f>
        <v>5.1579626047711157E-4</v>
      </c>
      <c r="X68" s="60">
        <f t="shared" ref="X68:X79" si="85">W68*43560</f>
        <v>22.468085106382979</v>
      </c>
    </row>
    <row r="69" spans="1:24" ht="18" customHeight="1" x14ac:dyDescent="0.4">
      <c r="A69" s="185" t="s">
        <v>499</v>
      </c>
      <c r="B69" s="205">
        <f t="shared" ref="B69" si="86">((H69*K69)/O69)</f>
        <v>0</v>
      </c>
      <c r="C69" s="200"/>
      <c r="D69" s="201">
        <f t="shared" ref="D69" si="87">IF($D$5=0,B69/$H$5,B69/$J$14)</f>
        <v>0</v>
      </c>
      <c r="E69" s="200"/>
      <c r="F69" s="201">
        <f t="shared" si="69"/>
        <v>0</v>
      </c>
      <c r="G69" s="219">
        <f t="shared" si="70"/>
        <v>0</v>
      </c>
      <c r="H69" s="222">
        <f>M69*($T$9*$AD$10)*N69*J69</f>
        <v>0</v>
      </c>
      <c r="I69" s="204" t="str">
        <f t="shared" si="71"/>
        <v xml:space="preserve">hour </v>
      </c>
      <c r="J69" s="83">
        <v>1</v>
      </c>
      <c r="K69" s="193">
        <f t="shared" si="72"/>
        <v>15</v>
      </c>
      <c r="L69" s="213" t="str">
        <f t="shared" ref="L69" si="88">CONCATENATE("/ ",I69)</f>
        <v xml:space="preserve">/ hour </v>
      </c>
      <c r="M69" s="222">
        <f t="shared" ref="M69" si="89">S69/$AE$4</f>
        <v>11.23404255319149</v>
      </c>
      <c r="N69" s="83">
        <v>1</v>
      </c>
      <c r="O69" s="204">
        <f t="shared" si="81"/>
        <v>10</v>
      </c>
      <c r="P69" s="83" t="s">
        <v>75</v>
      </c>
      <c r="Q69" s="83" t="s">
        <v>75</v>
      </c>
      <c r="R69" s="222">
        <f t="shared" si="82"/>
        <v>76.59574468085107</v>
      </c>
      <c r="S69" s="222">
        <f t="shared" ref="S69" si="90">(R69/60)</f>
        <v>1.2765957446808511</v>
      </c>
      <c r="T69" s="4">
        <f>3*60</f>
        <v>180</v>
      </c>
      <c r="U69" s="4">
        <f>46530*0.25</f>
        <v>11632.5</v>
      </c>
      <c r="V69" s="10" t="s">
        <v>393</v>
      </c>
      <c r="W69" s="244">
        <f t="shared" si="84"/>
        <v>2.5789813023855578E-4</v>
      </c>
      <c r="X69" s="60">
        <f t="shared" si="85"/>
        <v>11.23404255319149</v>
      </c>
    </row>
    <row r="70" spans="1:24" ht="18" customHeight="1" x14ac:dyDescent="0.4">
      <c r="A70" s="185" t="s">
        <v>500</v>
      </c>
      <c r="B70" s="205">
        <f t="shared" ref="B70" si="91">((H70*K70)/O70)</f>
        <v>0</v>
      </c>
      <c r="C70" s="200"/>
      <c r="D70" s="201">
        <f t="shared" ref="D70" si="92">IF($D$5=0,B70/$H$5,B70/$J$14)</f>
        <v>0</v>
      </c>
      <c r="E70" s="200"/>
      <c r="F70" s="201">
        <f t="shared" si="69"/>
        <v>0</v>
      </c>
      <c r="G70" s="219">
        <f t="shared" si="70"/>
        <v>0</v>
      </c>
      <c r="H70" s="222">
        <f>M70*($T$9*$AD$11)*N70*J70</f>
        <v>0</v>
      </c>
      <c r="I70" s="204" t="str">
        <f t="shared" si="71"/>
        <v xml:space="preserve">hour </v>
      </c>
      <c r="J70" s="83">
        <v>1</v>
      </c>
      <c r="K70" s="193">
        <f t="shared" si="72"/>
        <v>15</v>
      </c>
      <c r="L70" s="213" t="str">
        <f t="shared" ref="L70" si="93">CONCATENATE("/ ",I70)</f>
        <v xml:space="preserve">/ hour </v>
      </c>
      <c r="M70" s="222">
        <f t="shared" ref="M70" si="94">S70/$AE$4</f>
        <v>4.3988541666666672</v>
      </c>
      <c r="N70" s="83">
        <v>1</v>
      </c>
      <c r="O70" s="204">
        <f t="shared" si="81"/>
        <v>10</v>
      </c>
      <c r="P70" s="83" t="s">
        <v>75</v>
      </c>
      <c r="Q70" s="83" t="s">
        <v>75</v>
      </c>
      <c r="R70" s="222">
        <f t="shared" si="82"/>
        <v>29.9921875</v>
      </c>
      <c r="S70" s="222">
        <f t="shared" ref="S70" si="95">(R70/60)</f>
        <v>0.49986979166666667</v>
      </c>
      <c r="T70" s="83">
        <v>17.45</v>
      </c>
      <c r="U70" s="4">
        <f>48*6*10</f>
        <v>2880</v>
      </c>
      <c r="V70" s="10" t="s">
        <v>393</v>
      </c>
      <c r="W70" s="244">
        <f t="shared" si="84"/>
        <v>1.009837962962963E-4</v>
      </c>
      <c r="X70" s="60">
        <f t="shared" si="85"/>
        <v>4.3988541666666663</v>
      </c>
    </row>
    <row r="71" spans="1:24" ht="18" customHeight="1" x14ac:dyDescent="0.4">
      <c r="A71" s="185" t="s">
        <v>501</v>
      </c>
      <c r="B71" s="205">
        <f t="shared" ref="B71:B79" si="96">((H71*K71)/O71)</f>
        <v>0.50925925925925786</v>
      </c>
      <c r="C71" s="200"/>
      <c r="D71" s="201">
        <f t="shared" ref="D71:D79" si="97">IF($D$5=0,B71/$H$5,B71/$J$14)</f>
        <v>3.0982309124767147</v>
      </c>
      <c r="E71" s="200"/>
      <c r="F71" s="201">
        <f t="shared" si="69"/>
        <v>7.1125594868611447E-2</v>
      </c>
      <c r="G71" s="219">
        <f t="shared" si="70"/>
        <v>1.0263508159561803E-3</v>
      </c>
      <c r="H71" s="222">
        <f>M71*($T$9*$AD$12)*N71*J71</f>
        <v>0.33950617283950524</v>
      </c>
      <c r="I71" s="204" t="str">
        <f t="shared" si="71"/>
        <v xml:space="preserve">hour </v>
      </c>
      <c r="J71" s="83">
        <v>1</v>
      </c>
      <c r="K71" s="193">
        <f t="shared" si="72"/>
        <v>15</v>
      </c>
      <c r="L71" s="213" t="str">
        <f t="shared" ref="L71:L79" si="98">CONCATENATE("/ ",I71)</f>
        <v xml:space="preserve">/ hour </v>
      </c>
      <c r="M71" s="222">
        <f t="shared" ref="M71:M79" si="99">S71/$AE$4</f>
        <v>10.083333333333332</v>
      </c>
      <c r="N71" s="83">
        <v>1</v>
      </c>
      <c r="O71" s="204">
        <f t="shared" si="81"/>
        <v>10</v>
      </c>
      <c r="P71" s="83" t="s">
        <v>75</v>
      </c>
      <c r="Q71" s="83" t="s">
        <v>75</v>
      </c>
      <c r="R71" s="204">
        <f t="shared" si="82"/>
        <v>68.75</v>
      </c>
      <c r="S71" s="222">
        <f t="shared" ref="S71:S79" si="100">(R71/60)</f>
        <v>1.1458333333333333</v>
      </c>
      <c r="T71" s="83">
        <f>20*2</f>
        <v>40</v>
      </c>
      <c r="U71" s="4">
        <f>48*6*10</f>
        <v>2880</v>
      </c>
      <c r="V71" s="10" t="s">
        <v>393</v>
      </c>
      <c r="W71" s="244">
        <f t="shared" si="84"/>
        <v>2.3148148148148146E-4</v>
      </c>
      <c r="X71" s="60">
        <f t="shared" si="85"/>
        <v>10.083333333333332</v>
      </c>
    </row>
    <row r="72" spans="1:24" ht="18" customHeight="1" x14ac:dyDescent="0.4">
      <c r="A72" s="185" t="s">
        <v>507</v>
      </c>
      <c r="B72" s="205">
        <f t="shared" si="96"/>
        <v>0</v>
      </c>
      <c r="C72" s="200"/>
      <c r="D72" s="201">
        <f t="shared" si="97"/>
        <v>0</v>
      </c>
      <c r="E72" s="200"/>
      <c r="F72" s="201">
        <f t="shared" si="69"/>
        <v>0</v>
      </c>
      <c r="G72" s="219">
        <f t="shared" si="70"/>
        <v>0</v>
      </c>
      <c r="H72" s="222">
        <f>M72*($T$10*$AD$9)*N72*J72</f>
        <v>0</v>
      </c>
      <c r="I72" s="204" t="str">
        <f t="shared" si="71"/>
        <v xml:space="preserve">hour </v>
      </c>
      <c r="J72" s="83">
        <v>1</v>
      </c>
      <c r="K72" s="193">
        <f t="shared" si="72"/>
        <v>15</v>
      </c>
      <c r="L72" s="213" t="str">
        <f t="shared" si="98"/>
        <v xml:space="preserve">/ hour </v>
      </c>
      <c r="M72" s="222">
        <f t="shared" si="99"/>
        <v>22.468085106382979</v>
      </c>
      <c r="N72" s="83">
        <v>1</v>
      </c>
      <c r="O72" s="204">
        <f t="shared" si="81"/>
        <v>10</v>
      </c>
      <c r="P72" s="83" t="s">
        <v>75</v>
      </c>
      <c r="Q72" s="83" t="s">
        <v>75</v>
      </c>
      <c r="R72" s="222">
        <f t="shared" si="82"/>
        <v>153.19148936170214</v>
      </c>
      <c r="S72" s="222">
        <f t="shared" si="100"/>
        <v>2.5531914893617023</v>
      </c>
      <c r="T72" s="4">
        <f>6*60</f>
        <v>360</v>
      </c>
      <c r="U72" s="4">
        <f>46530*0.25</f>
        <v>11632.5</v>
      </c>
      <c r="V72" s="10" t="s">
        <v>393</v>
      </c>
      <c r="W72" s="244">
        <f t="shared" si="84"/>
        <v>5.1579626047711157E-4</v>
      </c>
      <c r="X72" s="60">
        <f t="shared" si="85"/>
        <v>22.468085106382979</v>
      </c>
    </row>
    <row r="73" spans="1:24" ht="18" customHeight="1" x14ac:dyDescent="0.4">
      <c r="A73" s="185" t="s">
        <v>508</v>
      </c>
      <c r="B73" s="205">
        <f t="shared" si="96"/>
        <v>0</v>
      </c>
      <c r="C73" s="200"/>
      <c r="D73" s="201">
        <f t="shared" si="97"/>
        <v>0</v>
      </c>
      <c r="E73" s="200"/>
      <c r="F73" s="201">
        <f t="shared" si="69"/>
        <v>0</v>
      </c>
      <c r="G73" s="219">
        <f t="shared" si="70"/>
        <v>0</v>
      </c>
      <c r="H73" s="222">
        <f>M73*($T$10*$AD$10)*N73*J73</f>
        <v>0</v>
      </c>
      <c r="I73" s="204" t="str">
        <f t="shared" si="71"/>
        <v xml:space="preserve">hour </v>
      </c>
      <c r="J73" s="83">
        <v>1</v>
      </c>
      <c r="K73" s="193">
        <f t="shared" si="72"/>
        <v>15</v>
      </c>
      <c r="L73" s="213" t="str">
        <f t="shared" si="98"/>
        <v xml:space="preserve">/ hour </v>
      </c>
      <c r="M73" s="222">
        <f t="shared" si="99"/>
        <v>11.23404255319149</v>
      </c>
      <c r="N73" s="83">
        <v>1</v>
      </c>
      <c r="O73" s="204">
        <f t="shared" si="81"/>
        <v>10</v>
      </c>
      <c r="P73" s="83" t="s">
        <v>75</v>
      </c>
      <c r="Q73" s="83" t="s">
        <v>75</v>
      </c>
      <c r="R73" s="222">
        <f t="shared" si="82"/>
        <v>76.59574468085107</v>
      </c>
      <c r="S73" s="222">
        <f t="shared" si="100"/>
        <v>1.2765957446808511</v>
      </c>
      <c r="T73" s="4">
        <f>3*60</f>
        <v>180</v>
      </c>
      <c r="U73" s="4">
        <f>46530*0.25</f>
        <v>11632.5</v>
      </c>
      <c r="V73" s="10" t="s">
        <v>393</v>
      </c>
      <c r="W73" s="244">
        <f t="shared" si="84"/>
        <v>2.5789813023855578E-4</v>
      </c>
      <c r="X73" s="60">
        <f t="shared" si="85"/>
        <v>11.23404255319149</v>
      </c>
    </row>
    <row r="74" spans="1:24" ht="18" customHeight="1" x14ac:dyDescent="0.4">
      <c r="A74" s="185" t="s">
        <v>502</v>
      </c>
      <c r="B74" s="205">
        <f t="shared" ref="B74" si="101">((H74*K74)/O74)</f>
        <v>0</v>
      </c>
      <c r="C74" s="200"/>
      <c r="D74" s="201">
        <f t="shared" ref="D74" si="102">IF($D$5=0,B74/$H$5,B74/$J$14)</f>
        <v>0</v>
      </c>
      <c r="E74" s="200"/>
      <c r="F74" s="201">
        <f t="shared" si="69"/>
        <v>0</v>
      </c>
      <c r="G74" s="219">
        <f t="shared" si="70"/>
        <v>0</v>
      </c>
      <c r="H74" s="222">
        <f>M74*($T$10*$AD$11)*N74*J74</f>
        <v>0</v>
      </c>
      <c r="I74" s="204" t="str">
        <f t="shared" si="71"/>
        <v xml:space="preserve">hour </v>
      </c>
      <c r="J74" s="83">
        <v>1</v>
      </c>
      <c r="K74" s="193">
        <f t="shared" si="72"/>
        <v>15</v>
      </c>
      <c r="L74" s="213" t="str">
        <f t="shared" ref="L74" si="103">CONCATENATE("/ ",I74)</f>
        <v xml:space="preserve">/ hour </v>
      </c>
      <c r="M74" s="222">
        <f t="shared" ref="M74" si="104">S74/$AE$4</f>
        <v>4.3988541666666672</v>
      </c>
      <c r="N74" s="83">
        <v>1</v>
      </c>
      <c r="O74" s="204">
        <f t="shared" si="81"/>
        <v>10</v>
      </c>
      <c r="P74" s="83" t="s">
        <v>75</v>
      </c>
      <c r="Q74" s="83" t="s">
        <v>75</v>
      </c>
      <c r="R74" s="222">
        <f t="shared" si="82"/>
        <v>29.9921875</v>
      </c>
      <c r="S74" s="222">
        <f t="shared" ref="S74" si="105">(R74/60)</f>
        <v>0.49986979166666667</v>
      </c>
      <c r="T74" s="83">
        <v>17.45</v>
      </c>
      <c r="U74" s="4">
        <f>48*6*10</f>
        <v>2880</v>
      </c>
      <c r="V74" s="10" t="s">
        <v>393</v>
      </c>
      <c r="W74" s="244">
        <f t="shared" si="84"/>
        <v>1.009837962962963E-4</v>
      </c>
      <c r="X74" s="60">
        <f t="shared" si="85"/>
        <v>4.3988541666666663</v>
      </c>
    </row>
    <row r="75" spans="1:24" ht="18" customHeight="1" x14ac:dyDescent="0.4">
      <c r="A75" s="185" t="s">
        <v>503</v>
      </c>
      <c r="B75" s="205">
        <f t="shared" si="96"/>
        <v>0.50925925925925786</v>
      </c>
      <c r="C75" s="200"/>
      <c r="D75" s="201">
        <f t="shared" si="97"/>
        <v>3.0982309124767147</v>
      </c>
      <c r="E75" s="200"/>
      <c r="F75" s="201">
        <f t="shared" si="69"/>
        <v>7.1125594868611447E-2</v>
      </c>
      <c r="G75" s="219">
        <f t="shared" si="70"/>
        <v>1.0263508159561803E-3</v>
      </c>
      <c r="H75" s="222">
        <f>M75*($T$10*$AD$12)*N75*J75</f>
        <v>0.33950617283950524</v>
      </c>
      <c r="I75" s="204" t="str">
        <f t="shared" si="71"/>
        <v xml:space="preserve">hour </v>
      </c>
      <c r="J75" s="83">
        <v>1</v>
      </c>
      <c r="K75" s="193">
        <f t="shared" si="72"/>
        <v>15</v>
      </c>
      <c r="L75" s="213" t="str">
        <f t="shared" si="98"/>
        <v xml:space="preserve">/ hour </v>
      </c>
      <c r="M75" s="222">
        <f t="shared" si="99"/>
        <v>10.083333333333332</v>
      </c>
      <c r="N75" s="83">
        <v>1</v>
      </c>
      <c r="O75" s="204">
        <f t="shared" si="81"/>
        <v>10</v>
      </c>
      <c r="P75" s="83" t="s">
        <v>75</v>
      </c>
      <c r="Q75" s="83" t="s">
        <v>75</v>
      </c>
      <c r="R75" s="204">
        <f t="shared" si="82"/>
        <v>68.75</v>
      </c>
      <c r="S75" s="222">
        <f t="shared" si="100"/>
        <v>1.1458333333333333</v>
      </c>
      <c r="T75" s="83">
        <f>20*2</f>
        <v>40</v>
      </c>
      <c r="U75" s="4">
        <f>48*6*10</f>
        <v>2880</v>
      </c>
      <c r="V75" s="10" t="s">
        <v>393</v>
      </c>
      <c r="W75" s="244">
        <f t="shared" si="84"/>
        <v>2.3148148148148146E-4</v>
      </c>
      <c r="X75" s="60">
        <f t="shared" si="85"/>
        <v>10.083333333333332</v>
      </c>
    </row>
    <row r="76" spans="1:24" ht="18" customHeight="1" x14ac:dyDescent="0.4">
      <c r="A76" s="185" t="s">
        <v>509</v>
      </c>
      <c r="B76" s="205">
        <f t="shared" ref="B76:B77" si="106">((H76*K76)/O76)</f>
        <v>0</v>
      </c>
      <c r="C76" s="200"/>
      <c r="D76" s="201">
        <f t="shared" ref="D76:D77" si="107">IF($D$5=0,B76/$H$5,B76/$J$14)</f>
        <v>0</v>
      </c>
      <c r="E76" s="200"/>
      <c r="F76" s="201">
        <f t="shared" si="69"/>
        <v>0</v>
      </c>
      <c r="G76" s="219">
        <f t="shared" si="70"/>
        <v>0</v>
      </c>
      <c r="H76" s="222">
        <f>M76*($T$11*$AD$9)*N76*J76</f>
        <v>0</v>
      </c>
      <c r="I76" s="204" t="str">
        <f t="shared" si="71"/>
        <v xml:space="preserve">hour </v>
      </c>
      <c r="J76" s="83">
        <v>1</v>
      </c>
      <c r="K76" s="193">
        <f t="shared" si="72"/>
        <v>15</v>
      </c>
      <c r="L76" s="213" t="str">
        <f t="shared" ref="L76:L77" si="108">CONCATENATE("/ ",I76)</f>
        <v xml:space="preserve">/ hour </v>
      </c>
      <c r="M76" s="222">
        <f t="shared" ref="M76:M77" si="109">S76/$AE$4</f>
        <v>22.468085106382979</v>
      </c>
      <c r="N76" s="83">
        <v>1</v>
      </c>
      <c r="O76" s="204">
        <f t="shared" si="81"/>
        <v>10</v>
      </c>
      <c r="P76" s="83" t="s">
        <v>75</v>
      </c>
      <c r="Q76" s="83" t="s">
        <v>75</v>
      </c>
      <c r="R76" s="222">
        <f t="shared" si="82"/>
        <v>153.19148936170214</v>
      </c>
      <c r="S76" s="222">
        <f t="shared" ref="S76:S77" si="110">(R76/60)</f>
        <v>2.5531914893617023</v>
      </c>
      <c r="T76" s="4">
        <f>6*60</f>
        <v>360</v>
      </c>
      <c r="U76" s="4">
        <f>46530*0.25</f>
        <v>11632.5</v>
      </c>
      <c r="V76" s="10" t="s">
        <v>393</v>
      </c>
      <c r="W76" s="244">
        <f t="shared" si="84"/>
        <v>5.1579626047711157E-4</v>
      </c>
      <c r="X76" s="60">
        <f t="shared" si="85"/>
        <v>22.468085106382979</v>
      </c>
    </row>
    <row r="77" spans="1:24" ht="18" customHeight="1" x14ac:dyDescent="0.4">
      <c r="A77" s="185" t="s">
        <v>510</v>
      </c>
      <c r="B77" s="205">
        <f t="shared" si="106"/>
        <v>0</v>
      </c>
      <c r="C77" s="200"/>
      <c r="D77" s="201">
        <f t="shared" si="107"/>
        <v>0</v>
      </c>
      <c r="E77" s="200"/>
      <c r="F77" s="201">
        <f t="shared" si="69"/>
        <v>0</v>
      </c>
      <c r="G77" s="219">
        <f t="shared" si="70"/>
        <v>0</v>
      </c>
      <c r="H77" s="222">
        <f>M77*($T$11*$AD$10)*N77*J77</f>
        <v>0</v>
      </c>
      <c r="I77" s="204" t="str">
        <f t="shared" si="71"/>
        <v xml:space="preserve">hour </v>
      </c>
      <c r="J77" s="83">
        <v>1</v>
      </c>
      <c r="K77" s="193">
        <f t="shared" si="72"/>
        <v>15</v>
      </c>
      <c r="L77" s="213" t="str">
        <f t="shared" si="108"/>
        <v xml:space="preserve">/ hour </v>
      </c>
      <c r="M77" s="222">
        <f t="shared" si="109"/>
        <v>11.23404255319149</v>
      </c>
      <c r="N77" s="83">
        <v>1</v>
      </c>
      <c r="O77" s="204">
        <f t="shared" si="81"/>
        <v>10</v>
      </c>
      <c r="P77" s="83" t="s">
        <v>75</v>
      </c>
      <c r="Q77" s="83" t="s">
        <v>75</v>
      </c>
      <c r="R77" s="222">
        <f t="shared" si="82"/>
        <v>76.59574468085107</v>
      </c>
      <c r="S77" s="222">
        <f t="shared" si="110"/>
        <v>1.2765957446808511</v>
      </c>
      <c r="T77" s="4">
        <f>3*60</f>
        <v>180</v>
      </c>
      <c r="U77" s="4">
        <f>46530*0.25</f>
        <v>11632.5</v>
      </c>
      <c r="V77" s="10" t="s">
        <v>393</v>
      </c>
      <c r="W77" s="244">
        <f t="shared" si="84"/>
        <v>2.5789813023855578E-4</v>
      </c>
      <c r="X77" s="60">
        <f t="shared" si="85"/>
        <v>11.23404255319149</v>
      </c>
    </row>
    <row r="78" spans="1:24" ht="18" customHeight="1" x14ac:dyDescent="0.4">
      <c r="A78" s="185" t="s">
        <v>504</v>
      </c>
      <c r="B78" s="205">
        <f t="shared" ref="B78" si="111">((H78*K78)/O78)</f>
        <v>0</v>
      </c>
      <c r="C78" s="200"/>
      <c r="D78" s="201">
        <f t="shared" ref="D78" si="112">IF($D$5=0,B78/$H$5,B78/$J$14)</f>
        <v>0</v>
      </c>
      <c r="E78" s="200"/>
      <c r="F78" s="201">
        <f t="shared" si="69"/>
        <v>0</v>
      </c>
      <c r="G78" s="219">
        <f t="shared" si="70"/>
        <v>0</v>
      </c>
      <c r="H78" s="222">
        <f>M78*($T$11*$AD$11)*N78*J78</f>
        <v>0</v>
      </c>
      <c r="I78" s="204" t="str">
        <f t="shared" si="71"/>
        <v xml:space="preserve">hour </v>
      </c>
      <c r="J78" s="83">
        <v>1</v>
      </c>
      <c r="K78" s="193">
        <f t="shared" si="72"/>
        <v>15</v>
      </c>
      <c r="L78" s="213" t="str">
        <f t="shared" ref="L78" si="113">CONCATENATE("/ ",I78)</f>
        <v xml:space="preserve">/ hour </v>
      </c>
      <c r="M78" s="222">
        <f t="shared" ref="M78" si="114">S78/$AE$4</f>
        <v>4.3988541666666672</v>
      </c>
      <c r="N78" s="83">
        <v>1</v>
      </c>
      <c r="O78" s="204">
        <f t="shared" si="81"/>
        <v>10</v>
      </c>
      <c r="P78" s="83" t="s">
        <v>75</v>
      </c>
      <c r="Q78" s="83" t="s">
        <v>75</v>
      </c>
      <c r="R78" s="222">
        <f t="shared" si="82"/>
        <v>29.9921875</v>
      </c>
      <c r="S78" s="222">
        <f t="shared" ref="S78" si="115">(R78/60)</f>
        <v>0.49986979166666667</v>
      </c>
      <c r="T78" s="83">
        <v>17.45</v>
      </c>
      <c r="U78" s="4">
        <f>48*6*10</f>
        <v>2880</v>
      </c>
      <c r="V78" s="10" t="s">
        <v>393</v>
      </c>
      <c r="W78" s="244">
        <f t="shared" si="84"/>
        <v>1.009837962962963E-4</v>
      </c>
      <c r="X78" s="60">
        <f t="shared" si="85"/>
        <v>4.3988541666666663</v>
      </c>
    </row>
    <row r="79" spans="1:24" ht="18" customHeight="1" x14ac:dyDescent="0.4">
      <c r="A79" s="185" t="s">
        <v>505</v>
      </c>
      <c r="B79" s="205">
        <f t="shared" si="96"/>
        <v>1.4675925925925921</v>
      </c>
      <c r="C79" s="200"/>
      <c r="D79" s="201">
        <f t="shared" si="97"/>
        <v>8.9285381750465547</v>
      </c>
      <c r="E79" s="200"/>
      <c r="F79" s="201">
        <f t="shared" si="69"/>
        <v>0.20497103248499896</v>
      </c>
      <c r="G79" s="219">
        <f t="shared" si="70"/>
        <v>2.9577564423464544E-3</v>
      </c>
      <c r="H79" s="222">
        <f>M79*($T$11*$AD$12)*N79*J79</f>
        <v>0.97839506172839463</v>
      </c>
      <c r="I79" s="204" t="str">
        <f t="shared" si="71"/>
        <v xml:space="preserve">hour </v>
      </c>
      <c r="J79" s="83">
        <v>1</v>
      </c>
      <c r="K79" s="193">
        <f t="shared" si="72"/>
        <v>15</v>
      </c>
      <c r="L79" s="213" t="str">
        <f t="shared" si="98"/>
        <v xml:space="preserve">/ hour </v>
      </c>
      <c r="M79" s="222">
        <f t="shared" si="99"/>
        <v>10.083333333333332</v>
      </c>
      <c r="N79" s="83">
        <v>1</v>
      </c>
      <c r="O79" s="204">
        <f t="shared" si="81"/>
        <v>10</v>
      </c>
      <c r="P79" s="83" t="s">
        <v>75</v>
      </c>
      <c r="Q79" s="83" t="s">
        <v>75</v>
      </c>
      <c r="R79" s="204">
        <f t="shared" si="82"/>
        <v>68.75</v>
      </c>
      <c r="S79" s="222">
        <f t="shared" si="100"/>
        <v>1.1458333333333333</v>
      </c>
      <c r="T79" s="83">
        <f>20*2</f>
        <v>40</v>
      </c>
      <c r="U79" s="4">
        <f>48*6*10</f>
        <v>2880</v>
      </c>
      <c r="V79" s="10" t="s">
        <v>393</v>
      </c>
      <c r="W79" s="244">
        <f t="shared" si="84"/>
        <v>2.3148148148148146E-4</v>
      </c>
      <c r="X79" s="60">
        <f t="shared" si="85"/>
        <v>10.083333333333332</v>
      </c>
    </row>
    <row r="80" spans="1:24" ht="18" customHeight="1" x14ac:dyDescent="0.4">
      <c r="A80" s="158" t="s">
        <v>257</v>
      </c>
      <c r="B80" s="159">
        <f t="shared" si="67"/>
        <v>0</v>
      </c>
      <c r="C80" s="9"/>
      <c r="D80" s="20">
        <f t="shared" si="68"/>
        <v>0</v>
      </c>
      <c r="E80" s="9"/>
      <c r="F80" s="81">
        <f t="shared" si="69"/>
        <v>0</v>
      </c>
      <c r="G80" s="71">
        <f t="shared" si="70"/>
        <v>0</v>
      </c>
      <c r="H80" s="29">
        <f>M80*(SUM($H$3:$H$4))*N80*J80</f>
        <v>0</v>
      </c>
      <c r="I80" s="29" t="str">
        <f t="shared" si="71"/>
        <v xml:space="preserve">hour </v>
      </c>
      <c r="J80" s="83">
        <v>0</v>
      </c>
      <c r="K80" s="30">
        <f t="shared" si="72"/>
        <v>15</v>
      </c>
      <c r="L80" s="10" t="str">
        <f t="shared" si="73"/>
        <v xml:space="preserve">/ hour </v>
      </c>
      <c r="M80" s="29">
        <f>S80/$AE$4</f>
        <v>4.4000000000000004</v>
      </c>
      <c r="N80" s="83">
        <v>1</v>
      </c>
      <c r="O80" s="29">
        <f>$K$5</f>
        <v>10</v>
      </c>
      <c r="P80" s="83" t="s">
        <v>75</v>
      </c>
      <c r="Q80" s="83" t="s">
        <v>75</v>
      </c>
      <c r="R80" s="83">
        <v>30</v>
      </c>
      <c r="S80" s="60">
        <f>(R80/60)</f>
        <v>0.5</v>
      </c>
      <c r="T80" s="60"/>
      <c r="U80" s="60"/>
      <c r="V80" s="60"/>
      <c r="W80" s="321"/>
    </row>
    <row r="81" spans="1:26" ht="18" customHeight="1" x14ac:dyDescent="0.4">
      <c r="A81" s="27" t="s">
        <v>258</v>
      </c>
      <c r="B81" s="19">
        <f t="shared" si="67"/>
        <v>0</v>
      </c>
      <c r="C81" s="9"/>
      <c r="D81" s="20">
        <f t="shared" si="68"/>
        <v>0</v>
      </c>
      <c r="E81" s="9"/>
      <c r="F81" s="81">
        <f t="shared" si="69"/>
        <v>0</v>
      </c>
      <c r="G81" s="71">
        <f t="shared" si="70"/>
        <v>0</v>
      </c>
      <c r="H81" s="83">
        <v>0</v>
      </c>
      <c r="I81" s="29" t="str">
        <f t="shared" si="71"/>
        <v xml:space="preserve">hour </v>
      </c>
      <c r="J81" s="83">
        <v>0</v>
      </c>
      <c r="K81" s="30">
        <f t="shared" si="72"/>
        <v>15</v>
      </c>
      <c r="L81" s="10" t="str">
        <f t="shared" si="73"/>
        <v xml:space="preserve">/ hour </v>
      </c>
      <c r="M81" s="83">
        <v>0</v>
      </c>
      <c r="N81" s="83">
        <v>0</v>
      </c>
      <c r="O81" s="83">
        <v>50</v>
      </c>
      <c r="P81" s="83" t="s">
        <v>75</v>
      </c>
      <c r="Q81" s="83" t="s">
        <v>75</v>
      </c>
      <c r="R81" s="29" t="s">
        <v>136</v>
      </c>
      <c r="S81" s="29" t="s">
        <v>136</v>
      </c>
      <c r="T81" s="29"/>
      <c r="U81" s="29"/>
      <c r="V81" s="29"/>
      <c r="W81" s="318"/>
    </row>
    <row r="82" spans="1:26" ht="18" customHeight="1" x14ac:dyDescent="0.4">
      <c r="A82" s="27" t="s">
        <v>259</v>
      </c>
      <c r="B82" s="19">
        <f t="shared" si="67"/>
        <v>0</v>
      </c>
      <c r="C82" s="9"/>
      <c r="D82" s="20">
        <f t="shared" si="68"/>
        <v>0</v>
      </c>
      <c r="E82" s="9"/>
      <c r="F82" s="81">
        <f t="shared" si="69"/>
        <v>0</v>
      </c>
      <c r="G82" s="71">
        <f t="shared" si="70"/>
        <v>0</v>
      </c>
      <c r="H82" s="83">
        <v>0</v>
      </c>
      <c r="I82" s="29" t="str">
        <f t="shared" si="71"/>
        <v xml:space="preserve">hour </v>
      </c>
      <c r="J82" s="83">
        <v>0</v>
      </c>
      <c r="K82" s="30">
        <f t="shared" si="72"/>
        <v>15</v>
      </c>
      <c r="L82" s="10" t="str">
        <f t="shared" si="73"/>
        <v xml:space="preserve">/ hour </v>
      </c>
      <c r="M82" s="83">
        <v>0</v>
      </c>
      <c r="N82" s="83">
        <v>0</v>
      </c>
      <c r="O82" s="83">
        <v>50</v>
      </c>
      <c r="P82" s="83" t="s">
        <v>75</v>
      </c>
      <c r="Q82" s="83" t="s">
        <v>75</v>
      </c>
      <c r="R82" s="29" t="s">
        <v>136</v>
      </c>
      <c r="S82" s="29" t="s">
        <v>136</v>
      </c>
      <c r="T82" s="29"/>
      <c r="U82" s="29"/>
      <c r="V82" s="29"/>
      <c r="W82" s="318"/>
    </row>
    <row r="83" spans="1:26" ht="18" customHeight="1" x14ac:dyDescent="0.4">
      <c r="A83" s="27" t="s">
        <v>260</v>
      </c>
      <c r="B83" s="19">
        <f t="shared" si="67"/>
        <v>0</v>
      </c>
      <c r="C83" s="9"/>
      <c r="D83" s="20">
        <f t="shared" si="68"/>
        <v>0</v>
      </c>
      <c r="E83" s="9"/>
      <c r="F83" s="81">
        <f t="shared" si="69"/>
        <v>0</v>
      </c>
      <c r="G83" s="71">
        <f t="shared" si="70"/>
        <v>0</v>
      </c>
      <c r="H83" s="83">
        <v>0</v>
      </c>
      <c r="I83" s="29" t="str">
        <f t="shared" si="71"/>
        <v xml:space="preserve">hour </v>
      </c>
      <c r="J83" s="83">
        <v>0</v>
      </c>
      <c r="K83" s="30">
        <f t="shared" si="72"/>
        <v>15</v>
      </c>
      <c r="L83" s="10" t="str">
        <f t="shared" si="73"/>
        <v xml:space="preserve">/ hour </v>
      </c>
      <c r="M83" s="83">
        <v>0</v>
      </c>
      <c r="N83" s="83">
        <v>0</v>
      </c>
      <c r="O83" s="83">
        <v>50</v>
      </c>
      <c r="P83" s="83" t="s">
        <v>75</v>
      </c>
      <c r="Q83" s="83" t="s">
        <v>75</v>
      </c>
      <c r="R83" s="29" t="s">
        <v>136</v>
      </c>
      <c r="S83" s="29" t="s">
        <v>136</v>
      </c>
      <c r="T83" s="29"/>
      <c r="U83" s="29"/>
      <c r="V83" s="29"/>
      <c r="W83" s="318"/>
    </row>
    <row r="84" spans="1:26" s="151" customFormat="1" ht="18" customHeight="1" x14ac:dyDescent="0.4">
      <c r="A84" s="54" t="s">
        <v>261</v>
      </c>
      <c r="B84" s="19"/>
      <c r="C84" s="80"/>
      <c r="D84" s="81"/>
      <c r="E84" s="80"/>
      <c r="F84" s="38"/>
      <c r="G84" s="82"/>
      <c r="H84" s="13" t="s">
        <v>232</v>
      </c>
      <c r="I84" s="13" t="s">
        <v>143</v>
      </c>
      <c r="J84" s="13" t="s">
        <v>82</v>
      </c>
      <c r="K84" s="13" t="s">
        <v>172</v>
      </c>
      <c r="L84" s="18" t="s">
        <v>147</v>
      </c>
      <c r="M84" s="13" t="s">
        <v>157</v>
      </c>
      <c r="N84" s="13" t="s">
        <v>83</v>
      </c>
      <c r="O84" s="13" t="s">
        <v>79</v>
      </c>
      <c r="P84" s="13" t="s">
        <v>73</v>
      </c>
      <c r="Q84" s="13" t="s">
        <v>74</v>
      </c>
      <c r="R84" s="13" t="s">
        <v>249</v>
      </c>
      <c r="S84" s="13" t="s">
        <v>342</v>
      </c>
      <c r="T84" s="187"/>
      <c r="U84" s="187"/>
      <c r="V84" s="187"/>
      <c r="W84" s="314"/>
      <c r="Z84" s="152"/>
    </row>
    <row r="85" spans="1:26" ht="18" customHeight="1" x14ac:dyDescent="0.4">
      <c r="A85" s="27" t="s">
        <v>262</v>
      </c>
      <c r="B85" s="19">
        <f>((H85*K85)/O85)</f>
        <v>0</v>
      </c>
      <c r="C85" s="9"/>
      <c r="D85" s="20">
        <f t="shared" ref="D85:D99" si="116">IF($D$5=0,B85/$H$5,B85/$J$14)</f>
        <v>0</v>
      </c>
      <c r="E85" s="9"/>
      <c r="F85" s="81">
        <f t="shared" ref="F85:F99" si="117">IF($F$5=0,(B85/($H$6/1000)),B85/$M$416)</f>
        <v>0</v>
      </c>
      <c r="G85" s="71">
        <f t="shared" ref="G85:G99" si="118">B85/$B$313</f>
        <v>0</v>
      </c>
      <c r="H85" s="83">
        <v>0</v>
      </c>
      <c r="I85" s="29" t="str">
        <f>$K$2</f>
        <v xml:space="preserve">hour </v>
      </c>
      <c r="J85" s="83">
        <v>0</v>
      </c>
      <c r="K85" s="30">
        <f>$M$2</f>
        <v>15</v>
      </c>
      <c r="L85" s="10" t="str">
        <f t="shared" ref="L85:L99" si="119">CONCATENATE("/ ",I85)</f>
        <v xml:space="preserve">/ hour </v>
      </c>
      <c r="M85" s="83">
        <v>0</v>
      </c>
      <c r="N85" s="83">
        <v>0</v>
      </c>
      <c r="O85" s="29">
        <f t="shared" ref="O85:O99" si="120">$K$5</f>
        <v>10</v>
      </c>
      <c r="P85" s="83" t="s">
        <v>75</v>
      </c>
      <c r="Q85" s="83" t="s">
        <v>75</v>
      </c>
      <c r="R85" s="29" t="s">
        <v>136</v>
      </c>
      <c r="S85" s="83">
        <v>0</v>
      </c>
      <c r="T85" s="29"/>
      <c r="U85" s="29"/>
      <c r="V85" s="29"/>
      <c r="W85" s="318"/>
    </row>
    <row r="86" spans="1:26" ht="18" customHeight="1" x14ac:dyDescent="0.4">
      <c r="A86" s="27" t="s">
        <v>263</v>
      </c>
      <c r="B86" s="19">
        <f>((H86*K86)/O86)</f>
        <v>0</v>
      </c>
      <c r="C86" s="9"/>
      <c r="D86" s="20">
        <f t="shared" si="116"/>
        <v>0</v>
      </c>
      <c r="E86" s="9"/>
      <c r="F86" s="81">
        <f t="shared" si="117"/>
        <v>0</v>
      </c>
      <c r="G86" s="71">
        <f t="shared" si="118"/>
        <v>0</v>
      </c>
      <c r="H86" s="83">
        <v>0</v>
      </c>
      <c r="I86" s="29" t="str">
        <f>$K$2</f>
        <v xml:space="preserve">hour </v>
      </c>
      <c r="J86" s="83">
        <v>0</v>
      </c>
      <c r="K86" s="30">
        <f>$M$2</f>
        <v>15</v>
      </c>
      <c r="L86" s="10" t="str">
        <f t="shared" si="119"/>
        <v xml:space="preserve">/ hour </v>
      </c>
      <c r="M86" s="83">
        <v>0</v>
      </c>
      <c r="N86" s="83">
        <v>0</v>
      </c>
      <c r="O86" s="29">
        <f t="shared" si="120"/>
        <v>10</v>
      </c>
      <c r="P86" s="83" t="s">
        <v>75</v>
      </c>
      <c r="Q86" s="83" t="s">
        <v>75</v>
      </c>
      <c r="R86" s="29" t="s">
        <v>136</v>
      </c>
      <c r="S86" s="83">
        <v>0</v>
      </c>
      <c r="T86" s="29"/>
      <c r="U86" s="29"/>
      <c r="V86" s="29"/>
      <c r="W86" s="318"/>
    </row>
    <row r="87" spans="1:26" ht="18" customHeight="1" x14ac:dyDescent="0.4">
      <c r="A87" s="27" t="s">
        <v>264</v>
      </c>
      <c r="B87" s="19">
        <f>((H87*K87)/O87)</f>
        <v>0</v>
      </c>
      <c r="C87" s="9"/>
      <c r="D87" s="20">
        <f t="shared" si="116"/>
        <v>0</v>
      </c>
      <c r="E87" s="9"/>
      <c r="F87" s="81">
        <f t="shared" si="117"/>
        <v>0</v>
      </c>
      <c r="G87" s="71">
        <f t="shared" si="118"/>
        <v>0</v>
      </c>
      <c r="H87" s="83">
        <v>0</v>
      </c>
      <c r="I87" s="29" t="str">
        <f>$K$2</f>
        <v xml:space="preserve">hour </v>
      </c>
      <c r="J87" s="83">
        <v>0</v>
      </c>
      <c r="K87" s="30">
        <f>$M$2</f>
        <v>15</v>
      </c>
      <c r="L87" s="10" t="str">
        <f t="shared" si="119"/>
        <v xml:space="preserve">/ hour </v>
      </c>
      <c r="M87" s="83">
        <v>0</v>
      </c>
      <c r="N87" s="83">
        <v>0</v>
      </c>
      <c r="O87" s="29">
        <f t="shared" si="120"/>
        <v>10</v>
      </c>
      <c r="P87" s="83" t="s">
        <v>75</v>
      </c>
      <c r="Q87" s="83" t="s">
        <v>75</v>
      </c>
      <c r="R87" s="29" t="s">
        <v>136</v>
      </c>
      <c r="S87" s="83">
        <v>0</v>
      </c>
      <c r="T87" s="29"/>
      <c r="U87" s="29"/>
      <c r="V87" s="29"/>
      <c r="W87" s="318"/>
    </row>
    <row r="88" spans="1:26" ht="18" customHeight="1" x14ac:dyDescent="0.4">
      <c r="A88" s="27" t="s">
        <v>265</v>
      </c>
      <c r="B88" s="19">
        <f>((H88*K88)/O88)</f>
        <v>0</v>
      </c>
      <c r="C88" s="9"/>
      <c r="D88" s="20">
        <f t="shared" si="116"/>
        <v>0</v>
      </c>
      <c r="E88" s="9"/>
      <c r="F88" s="81">
        <f t="shared" si="117"/>
        <v>0</v>
      </c>
      <c r="G88" s="71">
        <f t="shared" si="118"/>
        <v>0</v>
      </c>
      <c r="H88" s="83">
        <v>0</v>
      </c>
      <c r="I88" s="29" t="str">
        <f t="shared" ref="I88:I97" si="121">$K$2</f>
        <v xml:space="preserve">hour </v>
      </c>
      <c r="J88" s="83">
        <v>0</v>
      </c>
      <c r="K88" s="30">
        <f t="shared" ref="K88:K97" si="122">$M$2</f>
        <v>15</v>
      </c>
      <c r="L88" s="10" t="str">
        <f t="shared" si="119"/>
        <v xml:space="preserve">/ hour </v>
      </c>
      <c r="M88" s="83">
        <v>0</v>
      </c>
      <c r="N88" s="83">
        <v>0</v>
      </c>
      <c r="O88" s="29">
        <f t="shared" si="120"/>
        <v>10</v>
      </c>
      <c r="P88" s="83" t="s">
        <v>75</v>
      </c>
      <c r="Q88" s="83" t="s">
        <v>75</v>
      </c>
      <c r="R88" s="29" t="s">
        <v>136</v>
      </c>
      <c r="S88" s="83">
        <v>0</v>
      </c>
      <c r="T88" s="29"/>
      <c r="U88" s="29"/>
      <c r="V88" s="29"/>
      <c r="W88" s="318"/>
    </row>
    <row r="89" spans="1:26" ht="18" customHeight="1" x14ac:dyDescent="0.4">
      <c r="A89" s="27" t="s">
        <v>266</v>
      </c>
      <c r="B89" s="19">
        <f t="shared" ref="B89:B98" si="123">((H89*K89)/O89)</f>
        <v>0</v>
      </c>
      <c r="C89" s="9"/>
      <c r="D89" s="20">
        <f t="shared" si="116"/>
        <v>0</v>
      </c>
      <c r="E89" s="9"/>
      <c r="F89" s="81">
        <f t="shared" si="117"/>
        <v>0</v>
      </c>
      <c r="G89" s="71">
        <f t="shared" si="118"/>
        <v>0</v>
      </c>
      <c r="H89" s="83">
        <v>0</v>
      </c>
      <c r="I89" s="29" t="str">
        <f t="shared" si="121"/>
        <v xml:space="preserve">hour </v>
      </c>
      <c r="J89" s="83">
        <v>0</v>
      </c>
      <c r="K89" s="30">
        <f t="shared" si="122"/>
        <v>15</v>
      </c>
      <c r="L89" s="10" t="str">
        <f t="shared" si="119"/>
        <v xml:space="preserve">/ hour </v>
      </c>
      <c r="M89" s="83">
        <v>0</v>
      </c>
      <c r="N89" s="83">
        <v>0</v>
      </c>
      <c r="O89" s="29">
        <f t="shared" si="120"/>
        <v>10</v>
      </c>
      <c r="P89" s="83" t="s">
        <v>75</v>
      </c>
      <c r="Q89" s="83" t="s">
        <v>75</v>
      </c>
      <c r="R89" s="29" t="s">
        <v>136</v>
      </c>
      <c r="S89" s="83">
        <v>0</v>
      </c>
      <c r="T89" s="29"/>
      <c r="U89" s="29"/>
      <c r="V89" s="29"/>
      <c r="W89" s="318"/>
    </row>
    <row r="90" spans="1:26" ht="18" customHeight="1" x14ac:dyDescent="0.4">
      <c r="A90" s="27" t="s">
        <v>267</v>
      </c>
      <c r="B90" s="19">
        <f t="shared" si="123"/>
        <v>0</v>
      </c>
      <c r="C90" s="9"/>
      <c r="D90" s="20">
        <f t="shared" si="116"/>
        <v>0</v>
      </c>
      <c r="E90" s="9"/>
      <c r="F90" s="81">
        <f t="shared" si="117"/>
        <v>0</v>
      </c>
      <c r="G90" s="71">
        <f t="shared" si="118"/>
        <v>0</v>
      </c>
      <c r="H90" s="83">
        <v>0</v>
      </c>
      <c r="I90" s="29" t="str">
        <f>$K$2</f>
        <v xml:space="preserve">hour </v>
      </c>
      <c r="J90" s="83">
        <v>0</v>
      </c>
      <c r="K90" s="30">
        <f>$M$2</f>
        <v>15</v>
      </c>
      <c r="L90" s="10" t="str">
        <f t="shared" si="119"/>
        <v xml:space="preserve">/ hour </v>
      </c>
      <c r="M90" s="83">
        <v>0</v>
      </c>
      <c r="N90" s="83">
        <v>0</v>
      </c>
      <c r="O90" s="29">
        <f t="shared" si="120"/>
        <v>10</v>
      </c>
      <c r="P90" s="83" t="s">
        <v>75</v>
      </c>
      <c r="Q90" s="83" t="s">
        <v>75</v>
      </c>
      <c r="R90" s="29" t="s">
        <v>136</v>
      </c>
      <c r="S90" s="83">
        <v>0</v>
      </c>
      <c r="T90" s="29"/>
      <c r="U90" s="29"/>
      <c r="V90" s="29"/>
      <c r="W90" s="318"/>
    </row>
    <row r="91" spans="1:26" ht="18" customHeight="1" x14ac:dyDescent="0.4">
      <c r="A91" s="27" t="s">
        <v>268</v>
      </c>
      <c r="B91" s="19">
        <f t="shared" si="123"/>
        <v>0</v>
      </c>
      <c r="C91" s="9"/>
      <c r="D91" s="20">
        <f t="shared" si="116"/>
        <v>0</v>
      </c>
      <c r="E91" s="9"/>
      <c r="F91" s="81">
        <f t="shared" si="117"/>
        <v>0</v>
      </c>
      <c r="G91" s="71">
        <f t="shared" si="118"/>
        <v>0</v>
      </c>
      <c r="H91" s="83">
        <v>0</v>
      </c>
      <c r="I91" s="29" t="str">
        <f>$K$2</f>
        <v xml:space="preserve">hour </v>
      </c>
      <c r="J91" s="83">
        <v>0</v>
      </c>
      <c r="K91" s="30">
        <f>$M$2</f>
        <v>15</v>
      </c>
      <c r="L91" s="10" t="str">
        <f t="shared" si="119"/>
        <v xml:space="preserve">/ hour </v>
      </c>
      <c r="M91" s="83">
        <v>0</v>
      </c>
      <c r="N91" s="83">
        <v>0</v>
      </c>
      <c r="O91" s="29">
        <f t="shared" si="120"/>
        <v>10</v>
      </c>
      <c r="P91" s="83" t="s">
        <v>75</v>
      </c>
      <c r="Q91" s="83" t="s">
        <v>75</v>
      </c>
      <c r="R91" s="29" t="s">
        <v>136</v>
      </c>
      <c r="S91" s="83">
        <v>0</v>
      </c>
      <c r="T91" s="29"/>
      <c r="U91" s="29"/>
      <c r="V91" s="29"/>
      <c r="W91" s="318"/>
    </row>
    <row r="92" spans="1:26" ht="18" customHeight="1" x14ac:dyDescent="0.4">
      <c r="A92" s="27" t="s">
        <v>269</v>
      </c>
      <c r="B92" s="19">
        <f t="shared" si="123"/>
        <v>0</v>
      </c>
      <c r="C92" s="9"/>
      <c r="D92" s="20">
        <f t="shared" si="116"/>
        <v>0</v>
      </c>
      <c r="E92" s="9"/>
      <c r="F92" s="81">
        <f t="shared" si="117"/>
        <v>0</v>
      </c>
      <c r="G92" s="71">
        <f t="shared" si="118"/>
        <v>0</v>
      </c>
      <c r="H92" s="83">
        <v>0</v>
      </c>
      <c r="I92" s="29" t="str">
        <f t="shared" si="121"/>
        <v xml:space="preserve">hour </v>
      </c>
      <c r="J92" s="83">
        <v>0</v>
      </c>
      <c r="K92" s="30">
        <f t="shared" si="122"/>
        <v>15</v>
      </c>
      <c r="L92" s="10" t="str">
        <f t="shared" si="119"/>
        <v xml:space="preserve">/ hour </v>
      </c>
      <c r="M92" s="83">
        <v>0</v>
      </c>
      <c r="N92" s="83">
        <v>0</v>
      </c>
      <c r="O92" s="29">
        <f t="shared" si="120"/>
        <v>10</v>
      </c>
      <c r="P92" s="83" t="s">
        <v>75</v>
      </c>
      <c r="Q92" s="83" t="s">
        <v>75</v>
      </c>
      <c r="R92" s="29" t="s">
        <v>136</v>
      </c>
      <c r="S92" s="83">
        <v>0</v>
      </c>
      <c r="T92" s="29"/>
      <c r="U92" s="29"/>
      <c r="V92" s="29"/>
      <c r="W92" s="318"/>
    </row>
    <row r="93" spans="1:26" ht="18" customHeight="1" x14ac:dyDescent="0.4">
      <c r="A93" s="27" t="s">
        <v>270</v>
      </c>
      <c r="B93" s="19">
        <f t="shared" si="123"/>
        <v>0</v>
      </c>
      <c r="C93" s="9"/>
      <c r="D93" s="20">
        <f t="shared" si="116"/>
        <v>0</v>
      </c>
      <c r="E93" s="9"/>
      <c r="F93" s="81">
        <f t="shared" si="117"/>
        <v>0</v>
      </c>
      <c r="G93" s="71">
        <f t="shared" si="118"/>
        <v>0</v>
      </c>
      <c r="H93" s="83">
        <v>0</v>
      </c>
      <c r="I93" s="29" t="str">
        <f t="shared" si="121"/>
        <v xml:space="preserve">hour </v>
      </c>
      <c r="J93" s="83">
        <v>0</v>
      </c>
      <c r="K93" s="30">
        <f t="shared" si="122"/>
        <v>15</v>
      </c>
      <c r="L93" s="10" t="str">
        <f t="shared" si="119"/>
        <v xml:space="preserve">/ hour </v>
      </c>
      <c r="M93" s="83">
        <v>0</v>
      </c>
      <c r="N93" s="83">
        <v>0</v>
      </c>
      <c r="O93" s="29">
        <f t="shared" si="120"/>
        <v>10</v>
      </c>
      <c r="P93" s="83" t="s">
        <v>75</v>
      </c>
      <c r="Q93" s="83" t="s">
        <v>75</v>
      </c>
      <c r="R93" s="29" t="s">
        <v>136</v>
      </c>
      <c r="S93" s="83">
        <v>0</v>
      </c>
      <c r="T93" s="29"/>
      <c r="U93" s="29"/>
      <c r="V93" s="29"/>
      <c r="W93" s="318"/>
    </row>
    <row r="94" spans="1:26" ht="18" customHeight="1" x14ac:dyDescent="0.4">
      <c r="A94" s="27" t="s">
        <v>271</v>
      </c>
      <c r="B94" s="19">
        <f t="shared" si="123"/>
        <v>0</v>
      </c>
      <c r="C94" s="9"/>
      <c r="D94" s="20">
        <f t="shared" si="116"/>
        <v>0</v>
      </c>
      <c r="E94" s="9"/>
      <c r="F94" s="81">
        <f t="shared" si="117"/>
        <v>0</v>
      </c>
      <c r="G94" s="71">
        <f t="shared" si="118"/>
        <v>0</v>
      </c>
      <c r="H94" s="83">
        <v>0</v>
      </c>
      <c r="I94" s="29" t="str">
        <f t="shared" si="121"/>
        <v xml:space="preserve">hour </v>
      </c>
      <c r="J94" s="83">
        <v>0</v>
      </c>
      <c r="K94" s="30">
        <f t="shared" si="122"/>
        <v>15</v>
      </c>
      <c r="L94" s="10" t="str">
        <f t="shared" si="119"/>
        <v xml:space="preserve">/ hour </v>
      </c>
      <c r="M94" s="83">
        <v>0</v>
      </c>
      <c r="N94" s="83">
        <v>0</v>
      </c>
      <c r="O94" s="29">
        <f t="shared" si="120"/>
        <v>10</v>
      </c>
      <c r="P94" s="83" t="s">
        <v>75</v>
      </c>
      <c r="Q94" s="83" t="s">
        <v>75</v>
      </c>
      <c r="R94" s="29" t="s">
        <v>136</v>
      </c>
      <c r="S94" s="83">
        <v>0</v>
      </c>
      <c r="T94" s="29"/>
      <c r="U94" s="29"/>
      <c r="V94" s="29"/>
      <c r="W94" s="318"/>
    </row>
    <row r="95" spans="1:26" ht="18" customHeight="1" x14ac:dyDescent="0.4">
      <c r="A95" s="27" t="s">
        <v>272</v>
      </c>
      <c r="B95" s="19">
        <f t="shared" si="123"/>
        <v>0</v>
      </c>
      <c r="C95" s="9"/>
      <c r="D95" s="20">
        <f t="shared" si="116"/>
        <v>0</v>
      </c>
      <c r="E95" s="9"/>
      <c r="F95" s="81">
        <f t="shared" si="117"/>
        <v>0</v>
      </c>
      <c r="G95" s="71">
        <f t="shared" si="118"/>
        <v>0</v>
      </c>
      <c r="H95" s="83">
        <v>0</v>
      </c>
      <c r="I95" s="29" t="str">
        <f t="shared" si="121"/>
        <v xml:space="preserve">hour </v>
      </c>
      <c r="J95" s="83">
        <v>0</v>
      </c>
      <c r="K95" s="30">
        <f t="shared" si="122"/>
        <v>15</v>
      </c>
      <c r="L95" s="10" t="str">
        <f t="shared" si="119"/>
        <v xml:space="preserve">/ hour </v>
      </c>
      <c r="M95" s="83">
        <v>0</v>
      </c>
      <c r="N95" s="83">
        <v>0</v>
      </c>
      <c r="O95" s="29">
        <f t="shared" si="120"/>
        <v>10</v>
      </c>
      <c r="P95" s="83" t="s">
        <v>75</v>
      </c>
      <c r="Q95" s="83" t="s">
        <v>75</v>
      </c>
      <c r="R95" s="29" t="s">
        <v>136</v>
      </c>
      <c r="S95" s="83">
        <v>0</v>
      </c>
      <c r="T95" s="29"/>
      <c r="U95" s="29"/>
      <c r="V95" s="29"/>
      <c r="W95" s="318"/>
    </row>
    <row r="96" spans="1:26" ht="18" customHeight="1" x14ac:dyDescent="0.4">
      <c r="A96" s="27" t="s">
        <v>273</v>
      </c>
      <c r="B96" s="19">
        <f t="shared" si="123"/>
        <v>0</v>
      </c>
      <c r="C96" s="9"/>
      <c r="D96" s="20">
        <f t="shared" si="116"/>
        <v>0</v>
      </c>
      <c r="E96" s="9"/>
      <c r="F96" s="81">
        <f t="shared" si="117"/>
        <v>0</v>
      </c>
      <c r="G96" s="71">
        <f t="shared" si="118"/>
        <v>0</v>
      </c>
      <c r="H96" s="83">
        <v>0</v>
      </c>
      <c r="I96" s="29" t="str">
        <f t="shared" si="121"/>
        <v xml:space="preserve">hour </v>
      </c>
      <c r="J96" s="83">
        <v>0</v>
      </c>
      <c r="K96" s="30">
        <f t="shared" si="122"/>
        <v>15</v>
      </c>
      <c r="L96" s="10" t="str">
        <f t="shared" si="119"/>
        <v xml:space="preserve">/ hour </v>
      </c>
      <c r="M96" s="83">
        <v>0</v>
      </c>
      <c r="N96" s="83">
        <v>0</v>
      </c>
      <c r="O96" s="29">
        <f t="shared" si="120"/>
        <v>10</v>
      </c>
      <c r="P96" s="83" t="s">
        <v>75</v>
      </c>
      <c r="Q96" s="83" t="s">
        <v>75</v>
      </c>
      <c r="R96" s="29" t="s">
        <v>136</v>
      </c>
      <c r="S96" s="83">
        <v>0</v>
      </c>
      <c r="T96" s="29"/>
      <c r="U96" s="29"/>
      <c r="V96" s="29"/>
      <c r="W96" s="318"/>
    </row>
    <row r="97" spans="1:26" ht="18" customHeight="1" x14ac:dyDescent="0.4">
      <c r="A97" s="27" t="s">
        <v>274</v>
      </c>
      <c r="B97" s="19">
        <f t="shared" si="123"/>
        <v>0</v>
      </c>
      <c r="C97" s="9"/>
      <c r="D97" s="20">
        <f t="shared" si="116"/>
        <v>0</v>
      </c>
      <c r="E97" s="9"/>
      <c r="F97" s="81">
        <f t="shared" si="117"/>
        <v>0</v>
      </c>
      <c r="G97" s="71">
        <f t="shared" si="118"/>
        <v>0</v>
      </c>
      <c r="H97" s="83">
        <v>0</v>
      </c>
      <c r="I97" s="29" t="str">
        <f t="shared" si="121"/>
        <v xml:space="preserve">hour </v>
      </c>
      <c r="J97" s="83">
        <v>0</v>
      </c>
      <c r="K97" s="30">
        <f t="shared" si="122"/>
        <v>15</v>
      </c>
      <c r="L97" s="10" t="str">
        <f t="shared" si="119"/>
        <v xml:space="preserve">/ hour </v>
      </c>
      <c r="M97" s="83">
        <v>0</v>
      </c>
      <c r="N97" s="83">
        <v>0</v>
      </c>
      <c r="O97" s="29">
        <f t="shared" si="120"/>
        <v>10</v>
      </c>
      <c r="P97" s="83" t="s">
        <v>75</v>
      </c>
      <c r="Q97" s="83" t="s">
        <v>75</v>
      </c>
      <c r="R97" s="29" t="s">
        <v>136</v>
      </c>
      <c r="S97" s="83">
        <v>0</v>
      </c>
      <c r="T97" s="29"/>
      <c r="U97" s="29"/>
      <c r="V97" s="29"/>
      <c r="W97" s="318"/>
    </row>
    <row r="98" spans="1:26" ht="18" customHeight="1" x14ac:dyDescent="0.4">
      <c r="A98" s="27" t="s">
        <v>275</v>
      </c>
      <c r="B98" s="19">
        <f t="shared" si="123"/>
        <v>0</v>
      </c>
      <c r="C98" s="9"/>
      <c r="D98" s="20">
        <f t="shared" si="116"/>
        <v>0</v>
      </c>
      <c r="E98" s="9"/>
      <c r="F98" s="81">
        <f t="shared" si="117"/>
        <v>0</v>
      </c>
      <c r="G98" s="71">
        <f t="shared" si="118"/>
        <v>0</v>
      </c>
      <c r="H98" s="83">
        <v>0</v>
      </c>
      <c r="I98" s="29" t="str">
        <f>$K$2</f>
        <v xml:space="preserve">hour </v>
      </c>
      <c r="J98" s="83">
        <v>0</v>
      </c>
      <c r="K98" s="30">
        <f>$M$2</f>
        <v>15</v>
      </c>
      <c r="L98" s="10" t="str">
        <f t="shared" si="119"/>
        <v xml:space="preserve">/ hour </v>
      </c>
      <c r="M98" s="83">
        <v>0</v>
      </c>
      <c r="N98" s="83">
        <v>0</v>
      </c>
      <c r="O98" s="29">
        <f t="shared" si="120"/>
        <v>10</v>
      </c>
      <c r="P98" s="83" t="s">
        <v>75</v>
      </c>
      <c r="Q98" s="83" t="s">
        <v>75</v>
      </c>
      <c r="R98" s="29" t="s">
        <v>136</v>
      </c>
      <c r="S98" s="83">
        <v>0</v>
      </c>
      <c r="T98" s="29"/>
      <c r="U98" s="29"/>
      <c r="V98" s="29"/>
      <c r="W98" s="318"/>
    </row>
    <row r="99" spans="1:26" ht="18" customHeight="1" x14ac:dyDescent="0.4">
      <c r="A99" s="2" t="s">
        <v>87</v>
      </c>
      <c r="B99" s="19">
        <f>((H99*K99)/O99)</f>
        <v>0</v>
      </c>
      <c r="C99" s="9"/>
      <c r="D99" s="20">
        <f t="shared" si="116"/>
        <v>0</v>
      </c>
      <c r="E99" s="9"/>
      <c r="F99" s="81">
        <f t="shared" si="117"/>
        <v>0</v>
      </c>
      <c r="G99" s="71">
        <f t="shared" si="118"/>
        <v>0</v>
      </c>
      <c r="H99" s="83">
        <v>0</v>
      </c>
      <c r="I99" s="29" t="str">
        <f>$K$2</f>
        <v xml:space="preserve">hour </v>
      </c>
      <c r="J99" s="83">
        <v>0</v>
      </c>
      <c r="K99" s="30">
        <f>$M$2</f>
        <v>15</v>
      </c>
      <c r="L99" s="10" t="str">
        <f t="shared" si="119"/>
        <v xml:space="preserve">/ hour </v>
      </c>
      <c r="M99" s="83">
        <v>0</v>
      </c>
      <c r="N99" s="83">
        <v>0</v>
      </c>
      <c r="O99" s="29">
        <f t="shared" si="120"/>
        <v>10</v>
      </c>
      <c r="P99" s="83" t="s">
        <v>75</v>
      </c>
      <c r="Q99" s="83" t="s">
        <v>75</v>
      </c>
      <c r="R99" s="29" t="s">
        <v>136</v>
      </c>
      <c r="S99" s="83">
        <v>0</v>
      </c>
      <c r="T99" s="29"/>
      <c r="U99" s="29"/>
      <c r="V99" s="29"/>
      <c r="W99" s="318"/>
    </row>
    <row r="100" spans="1:26" s="151" customFormat="1" ht="18" customHeight="1" x14ac:dyDescent="0.4">
      <c r="A100" s="54" t="s">
        <v>732</v>
      </c>
      <c r="B100" s="19"/>
      <c r="C100" s="80"/>
      <c r="D100" s="81"/>
      <c r="E100" s="80"/>
      <c r="F100" s="38"/>
      <c r="G100" s="82"/>
      <c r="H100" s="13" t="s">
        <v>232</v>
      </c>
      <c r="I100" s="13" t="s">
        <v>143</v>
      </c>
      <c r="J100" s="13" t="s">
        <v>82</v>
      </c>
      <c r="K100" s="13" t="s">
        <v>172</v>
      </c>
      <c r="L100" s="18" t="s">
        <v>147</v>
      </c>
      <c r="M100" s="13" t="s">
        <v>157</v>
      </c>
      <c r="N100" s="13" t="s">
        <v>83</v>
      </c>
      <c r="O100" s="13" t="s">
        <v>79</v>
      </c>
      <c r="P100" s="13" t="s">
        <v>73</v>
      </c>
      <c r="Q100" s="13" t="s">
        <v>74</v>
      </c>
      <c r="R100" s="13" t="s">
        <v>249</v>
      </c>
      <c r="S100" s="13" t="s">
        <v>342</v>
      </c>
      <c r="T100" s="187"/>
      <c r="U100" s="187"/>
      <c r="V100" s="187"/>
      <c r="W100" s="314"/>
      <c r="Z100" s="152"/>
    </row>
    <row r="101" spans="1:26" ht="18" customHeight="1" x14ac:dyDescent="0.4">
      <c r="A101" s="158" t="s">
        <v>262</v>
      </c>
      <c r="B101" s="159">
        <f>((H101*K101)/O101)</f>
        <v>0</v>
      </c>
      <c r="C101" s="9"/>
      <c r="D101" s="20">
        <f t="shared" ref="D101:D139" si="124">IF($D$5=0,B101/$H$5,B101/$J$14)</f>
        <v>0</v>
      </c>
      <c r="E101" s="9"/>
      <c r="F101" s="81">
        <f t="shared" ref="F101:F139" si="125">IF($F$5=0,(B101/($H$6/1000)),B101/$M$416)</f>
        <v>0</v>
      </c>
      <c r="G101" s="71">
        <f t="shared" ref="G101:G139" si="126">B101/$B$313</f>
        <v>0</v>
      </c>
      <c r="H101" s="83">
        <v>0</v>
      </c>
      <c r="I101" s="29" t="str">
        <f t="shared" ref="I101:I130" si="127">$K$2</f>
        <v xml:space="preserve">hour </v>
      </c>
      <c r="J101" s="83">
        <v>0</v>
      </c>
      <c r="K101" s="30">
        <f t="shared" ref="K101:K132" si="128">$M$2</f>
        <v>15</v>
      </c>
      <c r="L101" s="10" t="str">
        <f t="shared" ref="L101:L134" si="129">CONCATENATE("/ ",I101)</f>
        <v xml:space="preserve">/ hour </v>
      </c>
      <c r="M101" s="60">
        <f>S101/$AE$4</f>
        <v>4.4000000000000004</v>
      </c>
      <c r="N101" s="83">
        <v>2</v>
      </c>
      <c r="O101" s="29">
        <f t="shared" ref="O101:O132" si="130">$K$5</f>
        <v>10</v>
      </c>
      <c r="P101" s="83" t="s">
        <v>75</v>
      </c>
      <c r="Q101" s="83" t="s">
        <v>75</v>
      </c>
      <c r="R101" s="83">
        <v>30</v>
      </c>
      <c r="S101" s="60">
        <f>(R101/60)</f>
        <v>0.5</v>
      </c>
      <c r="T101" s="13" t="s">
        <v>448</v>
      </c>
      <c r="U101" s="13" t="s">
        <v>444</v>
      </c>
      <c r="V101" s="61"/>
      <c r="W101" s="13" t="s">
        <v>445</v>
      </c>
      <c r="X101" s="13" t="s">
        <v>157</v>
      </c>
    </row>
    <row r="102" spans="1:26" ht="18" customHeight="1" x14ac:dyDescent="0.4">
      <c r="A102" s="185" t="s">
        <v>432</v>
      </c>
      <c r="B102" s="199">
        <f>((H102*K102)/O102)</f>
        <v>14.793333333333331</v>
      </c>
      <c r="C102" s="200"/>
      <c r="D102" s="201">
        <f t="shared" ref="D102:D107" si="131">IF($D$5=0,B102/$H$5,B102/$J$14)</f>
        <v>89.99966480446929</v>
      </c>
      <c r="E102" s="200"/>
      <c r="F102" s="201">
        <f t="shared" si="125"/>
        <v>2.0661080074487899</v>
      </c>
      <c r="G102" s="202">
        <f t="shared" si="126"/>
        <v>2.9814184938852264E-2</v>
      </c>
      <c r="H102" s="222">
        <f>M102*$T$11*N102*J102</f>
        <v>9.8622222222222202</v>
      </c>
      <c r="I102" s="204" t="str">
        <f t="shared" si="127"/>
        <v xml:space="preserve">hour </v>
      </c>
      <c r="J102" s="83">
        <v>3</v>
      </c>
      <c r="K102" s="193">
        <f t="shared" si="128"/>
        <v>15</v>
      </c>
      <c r="L102" s="213" t="str">
        <f t="shared" ref="L102:L107" si="132">CONCATENATE("/ ",I102)</f>
        <v xml:space="preserve">/ hour </v>
      </c>
      <c r="M102" s="222">
        <f t="shared" ref="M102:M108" si="133">X102</f>
        <v>33.880000000000003</v>
      </c>
      <c r="N102" s="83">
        <v>1</v>
      </c>
      <c r="O102" s="204">
        <f t="shared" si="130"/>
        <v>10</v>
      </c>
      <c r="P102" s="83" t="s">
        <v>75</v>
      </c>
      <c r="Q102" s="83" t="s">
        <v>75</v>
      </c>
      <c r="R102" s="83" t="s">
        <v>75</v>
      </c>
      <c r="S102" s="204" t="s">
        <v>136</v>
      </c>
      <c r="T102" s="83">
        <f>(2*2)+5+5</f>
        <v>14</v>
      </c>
      <c r="U102" s="4">
        <v>300</v>
      </c>
      <c r="V102" s="10" t="s">
        <v>393</v>
      </c>
      <c r="W102" s="244">
        <f t="shared" ref="W102:W108" si="134">(T102/60)/U102</f>
        <v>7.7777777777777784E-4</v>
      </c>
      <c r="X102" s="60">
        <f>W102*43560</f>
        <v>33.880000000000003</v>
      </c>
    </row>
    <row r="103" spans="1:26" ht="18" customHeight="1" x14ac:dyDescent="0.4">
      <c r="A103" s="185" t="s">
        <v>488</v>
      </c>
      <c r="B103" s="199">
        <f t="shared" ref="B103:B105" si="135">((H103*K103)/O103)</f>
        <v>0</v>
      </c>
      <c r="C103" s="200"/>
      <c r="D103" s="201">
        <f t="shared" ref="D103:D105" si="136">IF($D$5=0,B103/$H$5,B103/$J$14)</f>
        <v>0</v>
      </c>
      <c r="E103" s="200"/>
      <c r="F103" s="201">
        <f t="shared" si="125"/>
        <v>0</v>
      </c>
      <c r="G103" s="242">
        <f t="shared" si="126"/>
        <v>0</v>
      </c>
      <c r="H103" s="222">
        <f>M103*$AE$15*N103*J103</f>
        <v>0</v>
      </c>
      <c r="I103" s="204" t="str">
        <f t="shared" si="127"/>
        <v xml:space="preserve">hour </v>
      </c>
      <c r="J103" s="83">
        <v>1</v>
      </c>
      <c r="K103" s="193">
        <f t="shared" si="128"/>
        <v>15</v>
      </c>
      <c r="L103" s="213" t="str">
        <f t="shared" ref="L103:L105" si="137">CONCATENATE("/ ",I103)</f>
        <v xml:space="preserve">/ hour </v>
      </c>
      <c r="M103" s="222">
        <f t="shared" si="133"/>
        <v>68.566666666666563</v>
      </c>
      <c r="N103" s="83">
        <v>1</v>
      </c>
      <c r="O103" s="204">
        <f t="shared" si="130"/>
        <v>10</v>
      </c>
      <c r="P103" s="83" t="s">
        <v>75</v>
      </c>
      <c r="Q103" s="83" t="s">
        <v>75</v>
      </c>
      <c r="R103" s="83" t="s">
        <v>75</v>
      </c>
      <c r="S103" s="204" t="s">
        <v>136</v>
      </c>
      <c r="T103" s="84">
        <f>(1.5*10)*($T$107/$T$108)</f>
        <v>28.333333333333293</v>
      </c>
      <c r="U103" s="4">
        <v>300</v>
      </c>
      <c r="V103" s="10" t="s">
        <v>393</v>
      </c>
      <c r="W103" s="244">
        <f t="shared" si="134"/>
        <v>1.5740740740740717E-3</v>
      </c>
      <c r="X103" s="60">
        <f t="shared" ref="X103:X106" si="138">W103*43560</f>
        <v>68.566666666666563</v>
      </c>
    </row>
    <row r="104" spans="1:26" ht="18" customHeight="1" x14ac:dyDescent="0.4">
      <c r="A104" s="185" t="s">
        <v>491</v>
      </c>
      <c r="B104" s="199">
        <f t="shared" ref="B104" si="139">((H104*K104)/O104)</f>
        <v>0</v>
      </c>
      <c r="C104" s="200"/>
      <c r="D104" s="201">
        <f t="shared" ref="D104" si="140">IF($D$5=0,B104/$H$5,B104/$J$14)</f>
        <v>0</v>
      </c>
      <c r="E104" s="200"/>
      <c r="F104" s="201">
        <f t="shared" si="125"/>
        <v>0</v>
      </c>
      <c r="G104" s="242">
        <f t="shared" si="126"/>
        <v>0</v>
      </c>
      <c r="H104" s="222">
        <f>M104*$AE$15*N104*J104</f>
        <v>0</v>
      </c>
      <c r="I104" s="204" t="str">
        <f t="shared" si="127"/>
        <v xml:space="preserve">hour </v>
      </c>
      <c r="J104" s="83">
        <v>2</v>
      </c>
      <c r="K104" s="193">
        <f t="shared" si="128"/>
        <v>15</v>
      </c>
      <c r="L104" s="213" t="str">
        <f t="shared" ref="L104" si="141">CONCATENATE("/ ",I104)</f>
        <v xml:space="preserve">/ hour </v>
      </c>
      <c r="M104" s="222">
        <f t="shared" si="133"/>
        <v>36.300000000000004</v>
      </c>
      <c r="N104" s="83">
        <v>1</v>
      </c>
      <c r="O104" s="204">
        <f t="shared" si="130"/>
        <v>10</v>
      </c>
      <c r="P104" s="83" t="s">
        <v>75</v>
      </c>
      <c r="Q104" s="83" t="s">
        <v>75</v>
      </c>
      <c r="R104" s="83" t="s">
        <v>75</v>
      </c>
      <c r="S104" s="204" t="s">
        <v>136</v>
      </c>
      <c r="T104" s="83">
        <f>(1.5*10)</f>
        <v>15</v>
      </c>
      <c r="U104" s="4">
        <v>300</v>
      </c>
      <c r="V104" s="10" t="s">
        <v>393</v>
      </c>
      <c r="W104" s="244">
        <f t="shared" si="134"/>
        <v>8.3333333333333339E-4</v>
      </c>
      <c r="X104" s="60">
        <f t="shared" si="138"/>
        <v>36.300000000000004</v>
      </c>
    </row>
    <row r="105" spans="1:26" ht="18" customHeight="1" x14ac:dyDescent="0.4">
      <c r="A105" s="185" t="s">
        <v>489</v>
      </c>
      <c r="B105" s="199">
        <f t="shared" si="135"/>
        <v>0</v>
      </c>
      <c r="C105" s="200"/>
      <c r="D105" s="201">
        <f t="shared" si="136"/>
        <v>0</v>
      </c>
      <c r="E105" s="200"/>
      <c r="F105" s="201">
        <f t="shared" si="125"/>
        <v>0</v>
      </c>
      <c r="G105" s="242">
        <f t="shared" si="126"/>
        <v>0</v>
      </c>
      <c r="H105" s="222">
        <f>M105*$AE$16*N105*J105</f>
        <v>0</v>
      </c>
      <c r="I105" s="204" t="str">
        <f t="shared" si="127"/>
        <v xml:space="preserve">hour </v>
      </c>
      <c r="J105" s="83">
        <v>1</v>
      </c>
      <c r="K105" s="193">
        <f t="shared" si="128"/>
        <v>15</v>
      </c>
      <c r="L105" s="213" t="str">
        <f t="shared" si="137"/>
        <v xml:space="preserve">/ hour </v>
      </c>
      <c r="M105" s="222">
        <f t="shared" si="133"/>
        <v>13.713333333333313</v>
      </c>
      <c r="N105" s="83">
        <v>1</v>
      </c>
      <c r="O105" s="204">
        <f t="shared" si="130"/>
        <v>10</v>
      </c>
      <c r="P105" s="83" t="s">
        <v>75</v>
      </c>
      <c r="Q105" s="83" t="s">
        <v>75</v>
      </c>
      <c r="R105" s="83" t="s">
        <v>75</v>
      </c>
      <c r="S105" s="204" t="s">
        <v>136</v>
      </c>
      <c r="T105" s="162">
        <f>(1*3)*($T$107/$T$108)</f>
        <v>5.666666666666659</v>
      </c>
      <c r="U105" s="4">
        <v>300</v>
      </c>
      <c r="V105" s="10" t="s">
        <v>393</v>
      </c>
      <c r="W105" s="244">
        <f t="shared" si="134"/>
        <v>3.1481481481481437E-4</v>
      </c>
      <c r="X105" s="60">
        <f t="shared" si="138"/>
        <v>13.713333333333313</v>
      </c>
    </row>
    <row r="106" spans="1:26" ht="18" customHeight="1" x14ac:dyDescent="0.4">
      <c r="A106" s="185" t="s">
        <v>492</v>
      </c>
      <c r="B106" s="199">
        <f t="shared" ref="B106" si="142">((H106*K106)/O106)</f>
        <v>0</v>
      </c>
      <c r="C106" s="200"/>
      <c r="D106" s="201">
        <f t="shared" ref="D106" si="143">IF($D$5=0,B106/$H$5,B106/$J$14)</f>
        <v>0</v>
      </c>
      <c r="E106" s="200"/>
      <c r="F106" s="201">
        <f t="shared" si="125"/>
        <v>0</v>
      </c>
      <c r="G106" s="242">
        <f t="shared" si="126"/>
        <v>0</v>
      </c>
      <c r="H106" s="222">
        <f>M106*$AE$16*N106*J106</f>
        <v>0</v>
      </c>
      <c r="I106" s="204" t="str">
        <f t="shared" si="127"/>
        <v xml:space="preserve">hour </v>
      </c>
      <c r="J106" s="83">
        <v>2</v>
      </c>
      <c r="K106" s="193">
        <f t="shared" si="128"/>
        <v>15</v>
      </c>
      <c r="L106" s="213" t="str">
        <f t="shared" ref="L106" si="144">CONCATENATE("/ ",I106)</f>
        <v xml:space="preserve">/ hour </v>
      </c>
      <c r="M106" s="222">
        <f t="shared" si="133"/>
        <v>7.2600000000000007</v>
      </c>
      <c r="N106" s="83">
        <v>1</v>
      </c>
      <c r="O106" s="204">
        <f t="shared" si="130"/>
        <v>10</v>
      </c>
      <c r="P106" s="83" t="s">
        <v>75</v>
      </c>
      <c r="Q106" s="83" t="s">
        <v>75</v>
      </c>
      <c r="R106" s="83" t="s">
        <v>75</v>
      </c>
      <c r="S106" s="204" t="s">
        <v>136</v>
      </c>
      <c r="T106" s="83">
        <f>(1*3)</f>
        <v>3</v>
      </c>
      <c r="U106" s="4">
        <v>300</v>
      </c>
      <c r="V106" s="10" t="s">
        <v>393</v>
      </c>
      <c r="W106" s="244">
        <f t="shared" si="134"/>
        <v>1.6666666666666669E-4</v>
      </c>
      <c r="X106" s="60">
        <f t="shared" si="138"/>
        <v>7.2600000000000007</v>
      </c>
    </row>
    <row r="107" spans="1:26" ht="18" customHeight="1" x14ac:dyDescent="0.4">
      <c r="A107" s="185" t="s">
        <v>276</v>
      </c>
      <c r="B107" s="199">
        <f>((H107*K107)/O107)</f>
        <v>0.12592592592592541</v>
      </c>
      <c r="C107" s="200"/>
      <c r="D107" s="201">
        <f t="shared" si="131"/>
        <v>0.7661080074487866</v>
      </c>
      <c r="E107" s="200"/>
      <c r="F107" s="201">
        <f t="shared" si="125"/>
        <v>1.7587419822056628E-2</v>
      </c>
      <c r="G107" s="242">
        <f t="shared" si="126"/>
        <v>2.5378856540007335E-4</v>
      </c>
      <c r="H107" s="222">
        <f>M107*$AE$17*N107*J107</f>
        <v>8.3950617283950285E-2</v>
      </c>
      <c r="I107" s="204" t="str">
        <f t="shared" si="127"/>
        <v xml:space="preserve">hour </v>
      </c>
      <c r="J107" s="83">
        <v>1</v>
      </c>
      <c r="K107" s="193">
        <f t="shared" si="128"/>
        <v>15</v>
      </c>
      <c r="L107" s="213" t="str">
        <f t="shared" si="132"/>
        <v xml:space="preserve">/ hour </v>
      </c>
      <c r="M107" s="222">
        <f t="shared" si="133"/>
        <v>2.4933333333333301</v>
      </c>
      <c r="N107" s="83">
        <v>1</v>
      </c>
      <c r="O107" s="204">
        <f t="shared" si="130"/>
        <v>10</v>
      </c>
      <c r="P107" s="83" t="s">
        <v>75</v>
      </c>
      <c r="Q107" s="83" t="s">
        <v>75</v>
      </c>
      <c r="R107" s="83" t="s">
        <v>75</v>
      </c>
      <c r="S107" s="204" t="s">
        <v>136</v>
      </c>
      <c r="T107" s="162">
        <f>(2.49333333333333*60)*$W$4</f>
        <v>1.0303030303030289</v>
      </c>
      <c r="U107" s="4">
        <v>300</v>
      </c>
      <c r="V107" s="10" t="s">
        <v>393</v>
      </c>
      <c r="W107" s="244">
        <f t="shared" si="134"/>
        <v>5.7239057239057168E-5</v>
      </c>
      <c r="X107" s="60">
        <f>W107*43560</f>
        <v>2.4933333333333301</v>
      </c>
    </row>
    <row r="108" spans="1:26" ht="18" customHeight="1" x14ac:dyDescent="0.4">
      <c r="A108" s="185" t="s">
        <v>490</v>
      </c>
      <c r="B108" s="199">
        <f>((H108*K108)/O108)</f>
        <v>0.133333333333333</v>
      </c>
      <c r="C108" s="200"/>
      <c r="D108" s="201">
        <f t="shared" ref="D108" si="145">IF($D$5=0,B108/$H$5,B108/$J$14)</f>
        <v>0.81117318435754004</v>
      </c>
      <c r="E108" s="200"/>
      <c r="F108" s="201">
        <f t="shared" si="125"/>
        <v>1.8621973929236455E-2</v>
      </c>
      <c r="G108" s="242">
        <f t="shared" si="126"/>
        <v>2.6871730454125454E-4</v>
      </c>
      <c r="H108" s="222">
        <f>M108*$AE$17*N108*J108</f>
        <v>8.8888888888888656E-2</v>
      </c>
      <c r="I108" s="204" t="str">
        <f t="shared" si="127"/>
        <v xml:space="preserve">hour </v>
      </c>
      <c r="J108" s="83">
        <v>2</v>
      </c>
      <c r="K108" s="193">
        <f t="shared" si="128"/>
        <v>15</v>
      </c>
      <c r="L108" s="213" t="str">
        <f t="shared" ref="L108" si="146">CONCATENATE("/ ",I108)</f>
        <v xml:space="preserve">/ hour </v>
      </c>
      <c r="M108" s="222">
        <f t="shared" si="133"/>
        <v>1.32</v>
      </c>
      <c r="N108" s="83">
        <v>1</v>
      </c>
      <c r="O108" s="204">
        <f t="shared" si="130"/>
        <v>10</v>
      </c>
      <c r="P108" s="83" t="s">
        <v>75</v>
      </c>
      <c r="Q108" s="83" t="s">
        <v>75</v>
      </c>
      <c r="R108" s="83" t="s">
        <v>75</v>
      </c>
      <c r="S108" s="204" t="s">
        <v>136</v>
      </c>
      <c r="T108" s="162">
        <f>(1.32*60)*$W$4</f>
        <v>0.54545454545454553</v>
      </c>
      <c r="U108" s="4">
        <v>300</v>
      </c>
      <c r="V108" s="10" t="s">
        <v>393</v>
      </c>
      <c r="W108" s="244">
        <f t="shared" si="134"/>
        <v>3.0303030303030306E-5</v>
      </c>
      <c r="X108" s="60">
        <f>W108*43560</f>
        <v>1.32</v>
      </c>
    </row>
    <row r="109" spans="1:26" ht="18" customHeight="1" x14ac:dyDescent="0.4">
      <c r="A109" s="158" t="s">
        <v>276</v>
      </c>
      <c r="B109" s="159">
        <f>((H109*K109)/O109)</f>
        <v>0</v>
      </c>
      <c r="C109" s="9"/>
      <c r="D109" s="20">
        <f t="shared" si="124"/>
        <v>0</v>
      </c>
      <c r="E109" s="9"/>
      <c r="F109" s="81">
        <f t="shared" si="125"/>
        <v>0</v>
      </c>
      <c r="G109" s="71">
        <f t="shared" si="126"/>
        <v>0</v>
      </c>
      <c r="H109" s="60">
        <f t="shared" ref="H109:H117" si="147">M109*(SUM($H$3:$H$4))*N109*J109</f>
        <v>0</v>
      </c>
      <c r="I109" s="29" t="str">
        <f t="shared" si="127"/>
        <v xml:space="preserve">hour </v>
      </c>
      <c r="J109" s="83">
        <v>2</v>
      </c>
      <c r="K109" s="30">
        <f t="shared" si="128"/>
        <v>15</v>
      </c>
      <c r="L109" s="10" t="str">
        <f t="shared" si="129"/>
        <v xml:space="preserve">/ hour </v>
      </c>
      <c r="M109" s="60">
        <f>S109/$AE$4</f>
        <v>2.4933333333333332</v>
      </c>
      <c r="N109" s="83">
        <v>2</v>
      </c>
      <c r="O109" s="29">
        <f t="shared" si="130"/>
        <v>10</v>
      </c>
      <c r="P109" s="83" t="s">
        <v>75</v>
      </c>
      <c r="Q109" s="83" t="s">
        <v>75</v>
      </c>
      <c r="R109" s="83">
        <v>17</v>
      </c>
      <c r="S109" s="60">
        <f>(R109/60)</f>
        <v>0.28333333333333333</v>
      </c>
      <c r="T109" s="60"/>
      <c r="U109" s="60"/>
      <c r="V109" s="60"/>
      <c r="W109" s="321"/>
    </row>
    <row r="110" spans="1:26" ht="18" customHeight="1" x14ac:dyDescent="0.4">
      <c r="A110" s="27" t="s">
        <v>277</v>
      </c>
      <c r="B110" s="19">
        <f>((H110*K110)/O110)</f>
        <v>0</v>
      </c>
      <c r="C110" s="9"/>
      <c r="D110" s="20">
        <f t="shared" si="124"/>
        <v>0</v>
      </c>
      <c r="E110" s="9"/>
      <c r="F110" s="81">
        <f t="shared" si="125"/>
        <v>0</v>
      </c>
      <c r="G110" s="71">
        <f t="shared" si="126"/>
        <v>0</v>
      </c>
      <c r="H110" s="29">
        <f t="shared" si="147"/>
        <v>0</v>
      </c>
      <c r="I110" s="29" t="str">
        <f t="shared" si="127"/>
        <v xml:space="preserve">hour </v>
      </c>
      <c r="J110" s="83">
        <v>0</v>
      </c>
      <c r="K110" s="30">
        <f t="shared" si="128"/>
        <v>15</v>
      </c>
      <c r="L110" s="10" t="str">
        <f t="shared" si="129"/>
        <v xml:space="preserve">/ hour </v>
      </c>
      <c r="M110" s="83">
        <v>0</v>
      </c>
      <c r="N110" s="83">
        <v>0</v>
      </c>
      <c r="O110" s="29">
        <f t="shared" si="130"/>
        <v>10</v>
      </c>
      <c r="P110" s="83" t="s">
        <v>75</v>
      </c>
      <c r="Q110" s="83" t="s">
        <v>75</v>
      </c>
      <c r="R110" s="29" t="s">
        <v>136</v>
      </c>
      <c r="S110" s="29" t="s">
        <v>136</v>
      </c>
      <c r="T110" s="29"/>
      <c r="U110" s="29"/>
      <c r="V110" s="29"/>
      <c r="W110" s="318"/>
    </row>
    <row r="111" spans="1:26" ht="18" customHeight="1" x14ac:dyDescent="0.4">
      <c r="A111" s="158" t="s">
        <v>265</v>
      </c>
      <c r="B111" s="159">
        <f t="shared" ref="B111:B139" si="148">((H111*K111)/O111)</f>
        <v>0</v>
      </c>
      <c r="C111" s="9"/>
      <c r="D111" s="20">
        <f t="shared" si="124"/>
        <v>0</v>
      </c>
      <c r="E111" s="9"/>
      <c r="F111" s="81">
        <f t="shared" si="125"/>
        <v>0</v>
      </c>
      <c r="G111" s="71">
        <f t="shared" si="126"/>
        <v>0</v>
      </c>
      <c r="H111" s="60">
        <f t="shared" si="147"/>
        <v>0</v>
      </c>
      <c r="I111" s="29" t="str">
        <f t="shared" si="127"/>
        <v xml:space="preserve">hour </v>
      </c>
      <c r="J111" s="83">
        <v>1</v>
      </c>
      <c r="K111" s="30">
        <f t="shared" si="128"/>
        <v>15</v>
      </c>
      <c r="L111" s="10" t="str">
        <f t="shared" si="129"/>
        <v xml:space="preserve">/ hour </v>
      </c>
      <c r="M111" s="60">
        <f>S111/$AE$4</f>
        <v>6.746666666666667</v>
      </c>
      <c r="N111" s="83">
        <v>2</v>
      </c>
      <c r="O111" s="29">
        <f t="shared" si="130"/>
        <v>10</v>
      </c>
      <c r="P111" s="83" t="s">
        <v>75</v>
      </c>
      <c r="Q111" s="83" t="s">
        <v>75</v>
      </c>
      <c r="R111" s="83">
        <f>43+3</f>
        <v>46</v>
      </c>
      <c r="S111" s="60">
        <f>(R111/60)</f>
        <v>0.76666666666666672</v>
      </c>
      <c r="T111" s="60"/>
      <c r="U111" s="60"/>
      <c r="V111" s="60"/>
      <c r="W111" s="321"/>
    </row>
    <row r="112" spans="1:26" ht="18" customHeight="1" x14ac:dyDescent="0.4">
      <c r="A112" s="27" t="s">
        <v>266</v>
      </c>
      <c r="B112" s="19">
        <f>((H112*K112)/O112)</f>
        <v>0</v>
      </c>
      <c r="C112" s="9"/>
      <c r="D112" s="20">
        <f t="shared" si="124"/>
        <v>0</v>
      </c>
      <c r="E112" s="9"/>
      <c r="F112" s="81">
        <f t="shared" si="125"/>
        <v>0</v>
      </c>
      <c r="G112" s="71">
        <f t="shared" si="126"/>
        <v>0</v>
      </c>
      <c r="H112" s="29">
        <f t="shared" si="147"/>
        <v>0</v>
      </c>
      <c r="I112" s="29" t="str">
        <f t="shared" si="127"/>
        <v xml:space="preserve">hour </v>
      </c>
      <c r="J112" s="83">
        <v>0</v>
      </c>
      <c r="K112" s="30">
        <f t="shared" si="128"/>
        <v>15</v>
      </c>
      <c r="L112" s="10" t="str">
        <f>CONCATENATE("/ ",I112)</f>
        <v xml:space="preserve">/ hour </v>
      </c>
      <c r="M112" s="83">
        <v>0</v>
      </c>
      <c r="N112" s="83">
        <v>0</v>
      </c>
      <c r="O112" s="29">
        <f t="shared" si="130"/>
        <v>10</v>
      </c>
      <c r="P112" s="83" t="s">
        <v>75</v>
      </c>
      <c r="Q112" s="83" t="s">
        <v>75</v>
      </c>
      <c r="R112" s="29" t="s">
        <v>136</v>
      </c>
      <c r="S112" s="29" t="s">
        <v>136</v>
      </c>
      <c r="T112" s="29"/>
      <c r="U112" s="29"/>
      <c r="V112" s="29"/>
      <c r="W112" s="318"/>
    </row>
    <row r="113" spans="1:24" ht="18" customHeight="1" x14ac:dyDescent="0.4">
      <c r="A113" s="158" t="s">
        <v>278</v>
      </c>
      <c r="B113" s="159">
        <f t="shared" si="148"/>
        <v>0</v>
      </c>
      <c r="C113" s="9"/>
      <c r="D113" s="20">
        <f t="shared" si="124"/>
        <v>0</v>
      </c>
      <c r="E113" s="9"/>
      <c r="F113" s="81">
        <f t="shared" si="125"/>
        <v>0</v>
      </c>
      <c r="G113" s="71">
        <f t="shared" si="126"/>
        <v>0</v>
      </c>
      <c r="H113" s="29">
        <f t="shared" si="147"/>
        <v>0</v>
      </c>
      <c r="I113" s="29" t="str">
        <f t="shared" si="127"/>
        <v xml:space="preserve">hour </v>
      </c>
      <c r="J113" s="83">
        <v>1</v>
      </c>
      <c r="K113" s="30">
        <f t="shared" si="128"/>
        <v>15</v>
      </c>
      <c r="L113" s="10" t="str">
        <f t="shared" si="129"/>
        <v xml:space="preserve">/ hour </v>
      </c>
      <c r="M113" s="60">
        <f>S113/$AE$4</f>
        <v>1.32</v>
      </c>
      <c r="N113" s="83">
        <v>1</v>
      </c>
      <c r="O113" s="29">
        <f t="shared" si="130"/>
        <v>10</v>
      </c>
      <c r="P113" s="83" t="s">
        <v>75</v>
      </c>
      <c r="Q113" s="83" t="s">
        <v>75</v>
      </c>
      <c r="R113" s="83">
        <v>9</v>
      </c>
      <c r="S113" s="60">
        <f>(R113/60)</f>
        <v>0.15</v>
      </c>
      <c r="T113" s="60"/>
      <c r="U113" s="60"/>
      <c r="V113" s="60"/>
      <c r="W113" s="321"/>
    </row>
    <row r="114" spans="1:24" ht="18" customHeight="1" x14ac:dyDescent="0.4">
      <c r="A114" s="27" t="s">
        <v>279</v>
      </c>
      <c r="B114" s="19">
        <f t="shared" si="148"/>
        <v>0</v>
      </c>
      <c r="C114" s="9"/>
      <c r="D114" s="20">
        <f t="shared" si="124"/>
        <v>0</v>
      </c>
      <c r="E114" s="9"/>
      <c r="F114" s="81">
        <f t="shared" si="125"/>
        <v>0</v>
      </c>
      <c r="G114" s="71">
        <f t="shared" si="126"/>
        <v>0</v>
      </c>
      <c r="H114" s="29">
        <f t="shared" si="147"/>
        <v>0</v>
      </c>
      <c r="I114" s="29" t="str">
        <f t="shared" si="127"/>
        <v xml:space="preserve">hour </v>
      </c>
      <c r="J114" s="83">
        <v>0</v>
      </c>
      <c r="K114" s="30">
        <f t="shared" si="128"/>
        <v>15</v>
      </c>
      <c r="L114" s="10" t="str">
        <f t="shared" si="129"/>
        <v xml:space="preserve">/ hour </v>
      </c>
      <c r="M114" s="83">
        <v>0</v>
      </c>
      <c r="N114" s="83">
        <v>0</v>
      </c>
      <c r="O114" s="29">
        <f t="shared" si="130"/>
        <v>10</v>
      </c>
      <c r="P114" s="83" t="s">
        <v>75</v>
      </c>
      <c r="Q114" s="83" t="s">
        <v>75</v>
      </c>
      <c r="R114" s="29" t="s">
        <v>136</v>
      </c>
      <c r="S114" s="29" t="s">
        <v>136</v>
      </c>
      <c r="T114" s="29"/>
      <c r="U114" s="29"/>
      <c r="V114" s="29"/>
      <c r="W114" s="318"/>
    </row>
    <row r="115" spans="1:24" ht="18" customHeight="1" x14ac:dyDescent="0.4">
      <c r="A115" s="158" t="s">
        <v>269</v>
      </c>
      <c r="B115" s="19">
        <f>((H115*K115)/O115)*0</f>
        <v>0</v>
      </c>
      <c r="C115" s="9"/>
      <c r="D115" s="20">
        <f t="shared" si="124"/>
        <v>0</v>
      </c>
      <c r="E115" s="9"/>
      <c r="F115" s="81">
        <f t="shared" si="125"/>
        <v>0</v>
      </c>
      <c r="G115" s="71">
        <f t="shared" si="126"/>
        <v>0</v>
      </c>
      <c r="H115" s="29">
        <f t="shared" si="147"/>
        <v>0</v>
      </c>
      <c r="I115" s="29" t="str">
        <f t="shared" si="127"/>
        <v xml:space="preserve">hour </v>
      </c>
      <c r="J115" s="83">
        <v>1</v>
      </c>
      <c r="K115" s="30">
        <f t="shared" si="128"/>
        <v>15</v>
      </c>
      <c r="L115" s="10" t="str">
        <f t="shared" si="129"/>
        <v xml:space="preserve">/ hour </v>
      </c>
      <c r="M115" s="60">
        <f>S115/$AE$4</f>
        <v>4.6933333333333334</v>
      </c>
      <c r="N115" s="83">
        <v>3</v>
      </c>
      <c r="O115" s="29">
        <f t="shared" si="130"/>
        <v>10</v>
      </c>
      <c r="P115" s="83" t="s">
        <v>75</v>
      </c>
      <c r="Q115" s="83" t="s">
        <v>75</v>
      </c>
      <c r="R115" s="83">
        <v>32</v>
      </c>
      <c r="S115" s="60">
        <f t="shared" ref="S115:S117" si="149">(R115/60)</f>
        <v>0.53333333333333333</v>
      </c>
      <c r="T115" s="13" t="s">
        <v>448</v>
      </c>
      <c r="U115" s="13" t="s">
        <v>444</v>
      </c>
      <c r="V115" s="61"/>
      <c r="W115" s="13" t="s">
        <v>445</v>
      </c>
      <c r="X115" s="13" t="s">
        <v>157</v>
      </c>
    </row>
    <row r="116" spans="1:24" ht="18" customHeight="1" x14ac:dyDescent="0.4">
      <c r="A116" s="185" t="s">
        <v>433</v>
      </c>
      <c r="B116" s="199">
        <f>(H116*K116)/O116</f>
        <v>5.966666666666665</v>
      </c>
      <c r="C116" s="200"/>
      <c r="D116" s="201">
        <f t="shared" ref="D116" si="150">IF($D$5=0,B116/$H$5,B116/$J$14)</f>
        <v>36.299999999999997</v>
      </c>
      <c r="E116" s="200"/>
      <c r="F116" s="201">
        <f t="shared" si="125"/>
        <v>0.83333333333333326</v>
      </c>
      <c r="G116" s="202">
        <f t="shared" si="126"/>
        <v>1.2025099378221169E-2</v>
      </c>
      <c r="H116" s="222">
        <f>M116*$H$1*N116*J116</f>
        <v>3.9777777777777765</v>
      </c>
      <c r="I116" s="204" t="str">
        <f t="shared" si="127"/>
        <v xml:space="preserve">hour </v>
      </c>
      <c r="J116" s="83">
        <v>1</v>
      </c>
      <c r="K116" s="193">
        <f t="shared" si="128"/>
        <v>15</v>
      </c>
      <c r="L116" s="213" t="str">
        <f t="shared" ref="L116" si="151">CONCATENATE("/ ",I116)</f>
        <v xml:space="preserve">/ hour </v>
      </c>
      <c r="M116" s="222">
        <f>X116</f>
        <v>24.2</v>
      </c>
      <c r="N116" s="83">
        <v>1</v>
      </c>
      <c r="O116" s="204">
        <f t="shared" si="130"/>
        <v>10</v>
      </c>
      <c r="P116" s="83" t="s">
        <v>75</v>
      </c>
      <c r="Q116" s="83" t="s">
        <v>75</v>
      </c>
      <c r="R116" s="83" t="s">
        <v>75</v>
      </c>
      <c r="S116" s="204" t="s">
        <v>136</v>
      </c>
      <c r="T116" s="83">
        <v>10</v>
      </c>
      <c r="U116" s="4">
        <v>300</v>
      </c>
      <c r="V116" s="10" t="s">
        <v>393</v>
      </c>
      <c r="W116" s="244">
        <f>(T116/60)/U116</f>
        <v>5.5555555555555556E-4</v>
      </c>
      <c r="X116" s="60">
        <f>W116*43560</f>
        <v>24.2</v>
      </c>
    </row>
    <row r="117" spans="1:24" ht="18" customHeight="1" x14ac:dyDescent="0.4">
      <c r="A117" s="158" t="s">
        <v>270</v>
      </c>
      <c r="B117" s="159">
        <f t="shared" si="148"/>
        <v>0</v>
      </c>
      <c r="C117" s="9"/>
      <c r="D117" s="20">
        <f t="shared" si="124"/>
        <v>0</v>
      </c>
      <c r="E117" s="9"/>
      <c r="F117" s="81">
        <f t="shared" si="125"/>
        <v>0</v>
      </c>
      <c r="G117" s="71">
        <f t="shared" si="126"/>
        <v>0</v>
      </c>
      <c r="H117" s="60">
        <f t="shared" si="147"/>
        <v>0</v>
      </c>
      <c r="I117" s="29" t="str">
        <f t="shared" si="127"/>
        <v xml:space="preserve">hour </v>
      </c>
      <c r="J117" s="83">
        <v>0</v>
      </c>
      <c r="K117" s="30">
        <f t="shared" si="128"/>
        <v>15</v>
      </c>
      <c r="L117" s="10" t="str">
        <f t="shared" si="129"/>
        <v xml:space="preserve">/ hour </v>
      </c>
      <c r="M117" s="60">
        <f>S117/$AE$4</f>
        <v>2.3759999999999999</v>
      </c>
      <c r="N117" s="84">
        <v>2.3333333333333335</v>
      </c>
      <c r="O117" s="29">
        <f t="shared" si="130"/>
        <v>10</v>
      </c>
      <c r="P117" s="83" t="s">
        <v>75</v>
      </c>
      <c r="Q117" s="83" t="s">
        <v>75</v>
      </c>
      <c r="R117" s="83">
        <v>16.2</v>
      </c>
      <c r="S117" s="60">
        <f t="shared" si="149"/>
        <v>0.26999999999999996</v>
      </c>
      <c r="T117" s="13" t="s">
        <v>449</v>
      </c>
      <c r="U117" s="13" t="s">
        <v>450</v>
      </c>
      <c r="V117" s="60"/>
      <c r="W117" s="11"/>
    </row>
    <row r="118" spans="1:24" ht="18" customHeight="1" x14ac:dyDescent="0.4">
      <c r="A118" s="185" t="s">
        <v>447</v>
      </c>
      <c r="B118" s="199">
        <f t="shared" ref="B118:B124" si="152">((H118*K118)/O118)</f>
        <v>11.824999999999996</v>
      </c>
      <c r="C118" s="200"/>
      <c r="D118" s="201">
        <f t="shared" ref="D118" si="153">IF($D$5=0,B118/$H$5,B118/$J$14)</f>
        <v>71.940921787709485</v>
      </c>
      <c r="E118" s="200"/>
      <c r="F118" s="201">
        <f t="shared" si="125"/>
        <v>1.6515363128491618</v>
      </c>
      <c r="G118" s="202">
        <f t="shared" si="126"/>
        <v>2.3831865946502565E-2</v>
      </c>
      <c r="H118" s="478">
        <f>U118*SUM(H38:H39)*N118*J118</f>
        <v>7.8833333333333302</v>
      </c>
      <c r="I118" s="204" t="str">
        <f t="shared" si="127"/>
        <v xml:space="preserve">hour </v>
      </c>
      <c r="J118" s="204">
        <f>IF($S$15&gt;0,1,0)</f>
        <v>1</v>
      </c>
      <c r="K118" s="193">
        <f t="shared" si="128"/>
        <v>15</v>
      </c>
      <c r="L118" s="213" t="str">
        <f t="shared" ref="L118" si="154">CONCATENATE("/ ",I118)</f>
        <v xml:space="preserve">/ hour </v>
      </c>
      <c r="M118" s="222">
        <f>H118*(43560/$P$4)</f>
        <v>47.960614525139661</v>
      </c>
      <c r="N118" s="83">
        <v>1</v>
      </c>
      <c r="O118" s="204">
        <f t="shared" si="130"/>
        <v>10</v>
      </c>
      <c r="P118" s="83" t="s">
        <v>75</v>
      </c>
      <c r="Q118" s="83" t="s">
        <v>75</v>
      </c>
      <c r="R118" s="204" t="s">
        <v>136</v>
      </c>
      <c r="S118" s="204" t="s">
        <v>136</v>
      </c>
      <c r="T118" s="162">
        <f>(5+3+3)/60</f>
        <v>0.18333333333333332</v>
      </c>
      <c r="U118" s="188">
        <f>T118/60</f>
        <v>3.0555555555555553E-3</v>
      </c>
      <c r="V118" s="29"/>
      <c r="W118" s="11"/>
    </row>
    <row r="119" spans="1:24" ht="18" customHeight="1" x14ac:dyDescent="0.4">
      <c r="A119" s="27" t="s">
        <v>280</v>
      </c>
      <c r="B119" s="19">
        <f t="shared" si="152"/>
        <v>0</v>
      </c>
      <c r="C119" s="9"/>
      <c r="D119" s="20">
        <f t="shared" si="124"/>
        <v>0</v>
      </c>
      <c r="E119" s="9"/>
      <c r="F119" s="81">
        <f t="shared" si="125"/>
        <v>0</v>
      </c>
      <c r="G119" s="71">
        <f t="shared" si="126"/>
        <v>0</v>
      </c>
      <c r="H119" s="29">
        <f>M119*$H$3*N119*J119</f>
        <v>0</v>
      </c>
      <c r="I119" s="29" t="str">
        <f t="shared" si="127"/>
        <v xml:space="preserve">hour </v>
      </c>
      <c r="J119" s="83">
        <v>0</v>
      </c>
      <c r="K119" s="30">
        <f t="shared" si="128"/>
        <v>15</v>
      </c>
      <c r="L119" s="10" t="str">
        <f t="shared" si="129"/>
        <v xml:space="preserve">/ hour </v>
      </c>
      <c r="M119" s="83">
        <v>0</v>
      </c>
      <c r="N119" s="83">
        <v>0</v>
      </c>
      <c r="O119" s="29">
        <f t="shared" si="130"/>
        <v>10</v>
      </c>
      <c r="P119" s="83" t="s">
        <v>75</v>
      </c>
      <c r="Q119" s="83" t="s">
        <v>75</v>
      </c>
      <c r="R119" s="29" t="s">
        <v>136</v>
      </c>
      <c r="S119" s="29" t="s">
        <v>136</v>
      </c>
      <c r="T119" s="13" t="s">
        <v>720</v>
      </c>
      <c r="U119" s="13" t="s">
        <v>721</v>
      </c>
      <c r="V119" s="13" t="s">
        <v>722</v>
      </c>
      <c r="W119" s="11"/>
    </row>
    <row r="120" spans="1:24" ht="18" customHeight="1" x14ac:dyDescent="0.4">
      <c r="A120" s="674" t="s">
        <v>281</v>
      </c>
      <c r="B120" s="19">
        <f t="shared" si="152"/>
        <v>0</v>
      </c>
      <c r="C120" s="9"/>
      <c r="D120" s="20">
        <f t="shared" si="124"/>
        <v>0</v>
      </c>
      <c r="E120" s="9"/>
      <c r="F120" s="81">
        <f t="shared" si="125"/>
        <v>0</v>
      </c>
      <c r="G120" s="71">
        <f t="shared" si="126"/>
        <v>0</v>
      </c>
      <c r="H120" s="60">
        <f>M120*$H$1*N120*J120</f>
        <v>0</v>
      </c>
      <c r="I120" s="29" t="str">
        <f t="shared" si="127"/>
        <v xml:space="preserve">hour </v>
      </c>
      <c r="J120" s="29">
        <f>$M$6</f>
        <v>0</v>
      </c>
      <c r="K120" s="30">
        <f t="shared" si="128"/>
        <v>15</v>
      </c>
      <c r="L120" s="10" t="str">
        <f t="shared" si="129"/>
        <v xml:space="preserve">/ hour </v>
      </c>
      <c r="M120" s="29">
        <f>V120</f>
        <v>8</v>
      </c>
      <c r="N120" s="83">
        <v>1</v>
      </c>
      <c r="O120" s="29">
        <f t="shared" si="130"/>
        <v>10</v>
      </c>
      <c r="P120" s="83" t="s">
        <v>75</v>
      </c>
      <c r="Q120" s="83" t="s">
        <v>75</v>
      </c>
      <c r="R120" s="29" t="s">
        <v>136</v>
      </c>
      <c r="S120" s="29" t="s">
        <v>136</v>
      </c>
      <c r="T120" s="83">
        <v>15</v>
      </c>
      <c r="U120" s="29">
        <f>T120/0.03125</f>
        <v>480</v>
      </c>
      <c r="V120" s="29">
        <f>U120/60</f>
        <v>8</v>
      </c>
      <c r="W120" s="11"/>
    </row>
    <row r="121" spans="1:24" ht="18" customHeight="1" x14ac:dyDescent="0.4">
      <c r="A121" s="158" t="s">
        <v>282</v>
      </c>
      <c r="B121" s="159">
        <f t="shared" si="152"/>
        <v>0</v>
      </c>
      <c r="C121" s="9"/>
      <c r="D121" s="20">
        <f t="shared" si="124"/>
        <v>0</v>
      </c>
      <c r="E121" s="9"/>
      <c r="F121" s="81">
        <f t="shared" si="125"/>
        <v>0</v>
      </c>
      <c r="G121" s="71">
        <f t="shared" si="126"/>
        <v>0</v>
      </c>
      <c r="H121" s="60">
        <f>M121*$H$3*N121*J121</f>
        <v>0</v>
      </c>
      <c r="I121" s="29" t="str">
        <f t="shared" si="127"/>
        <v xml:space="preserve">hour </v>
      </c>
      <c r="J121" s="83">
        <v>1</v>
      </c>
      <c r="K121" s="30">
        <f t="shared" si="128"/>
        <v>15</v>
      </c>
      <c r="L121" s="10" t="str">
        <f t="shared" si="129"/>
        <v xml:space="preserve">/ hour </v>
      </c>
      <c r="M121" s="60">
        <f>S121/$AE$4</f>
        <v>6.9919048642452741E-2</v>
      </c>
      <c r="N121" s="83">
        <v>1.8</v>
      </c>
      <c r="O121" s="29">
        <f t="shared" si="130"/>
        <v>10</v>
      </c>
      <c r="P121" s="83" t="s">
        <v>75</v>
      </c>
      <c r="Q121" s="83" t="s">
        <v>75</v>
      </c>
      <c r="R121" s="163">
        <f>1.15366430260047*60*W4</f>
        <v>0.47672078619854141</v>
      </c>
      <c r="S121" s="60">
        <f>(R121/60)</f>
        <v>7.9453464366423567E-3</v>
      </c>
      <c r="T121" s="60"/>
      <c r="U121" s="60"/>
      <c r="V121" s="60"/>
      <c r="W121" s="11"/>
    </row>
    <row r="122" spans="1:24" ht="18" customHeight="1" x14ac:dyDescent="0.4">
      <c r="A122" s="158" t="s">
        <v>283</v>
      </c>
      <c r="B122" s="159">
        <f t="shared" si="152"/>
        <v>0</v>
      </c>
      <c r="C122" s="9"/>
      <c r="D122" s="20">
        <f t="shared" si="124"/>
        <v>0</v>
      </c>
      <c r="E122" s="9"/>
      <c r="F122" s="81">
        <f t="shared" si="125"/>
        <v>0</v>
      </c>
      <c r="G122" s="71">
        <f t="shared" si="126"/>
        <v>0</v>
      </c>
      <c r="H122" s="60">
        <f>M122*$H$4*N122*J122</f>
        <v>0</v>
      </c>
      <c r="I122" s="29" t="str">
        <f t="shared" si="127"/>
        <v xml:space="preserve">hour </v>
      </c>
      <c r="J122" s="83">
        <v>1</v>
      </c>
      <c r="K122" s="30">
        <f t="shared" si="128"/>
        <v>15</v>
      </c>
      <c r="L122" s="10" t="str">
        <f t="shared" si="129"/>
        <v xml:space="preserve">/ hour </v>
      </c>
      <c r="M122" s="60">
        <f>S122/$AE$4</f>
        <v>8.0808080808080801E-2</v>
      </c>
      <c r="N122" s="83">
        <v>2</v>
      </c>
      <c r="O122" s="29">
        <f t="shared" si="130"/>
        <v>10</v>
      </c>
      <c r="P122" s="83" t="s">
        <v>75</v>
      </c>
      <c r="Q122" s="83" t="s">
        <v>75</v>
      </c>
      <c r="R122" s="163">
        <f>(2/1.5)*60*W4</f>
        <v>0.55096418732782371</v>
      </c>
      <c r="S122" s="60">
        <f>(R122/60)</f>
        <v>9.1827364554637279E-3</v>
      </c>
      <c r="T122" s="13" t="s">
        <v>448</v>
      </c>
      <c r="U122" s="13" t="s">
        <v>444</v>
      </c>
      <c r="V122" s="61"/>
      <c r="W122" s="13" t="s">
        <v>445</v>
      </c>
      <c r="X122" s="13" t="s">
        <v>157</v>
      </c>
    </row>
    <row r="123" spans="1:24" ht="18" customHeight="1" x14ac:dyDescent="0.4">
      <c r="A123" s="185" t="s">
        <v>455</v>
      </c>
      <c r="B123" s="205">
        <f t="shared" ref="B123" si="155">((H123*K123)/O123)</f>
        <v>1.2722222222222219</v>
      </c>
      <c r="C123" s="200"/>
      <c r="D123" s="201">
        <f t="shared" si="124"/>
        <v>7.739944134078212</v>
      </c>
      <c r="E123" s="200"/>
      <c r="F123" s="201">
        <f t="shared" si="125"/>
        <v>0.17768466790813159</v>
      </c>
      <c r="G123" s="219">
        <f t="shared" si="126"/>
        <v>2.5640109474978096E-3</v>
      </c>
      <c r="H123" s="222">
        <f>M123*$T$16*N123*J123</f>
        <v>0.7633333333333332</v>
      </c>
      <c r="I123" s="204" t="str">
        <f t="shared" si="127"/>
        <v xml:space="preserve">hour </v>
      </c>
      <c r="J123" s="204">
        <f>IF($S$16&gt;0,1-$M$6,0)</f>
        <v>1</v>
      </c>
      <c r="K123" s="193">
        <f t="shared" si="128"/>
        <v>15</v>
      </c>
      <c r="L123" s="213" t="str">
        <f t="shared" si="129"/>
        <v xml:space="preserve">/ hour </v>
      </c>
      <c r="M123" s="222">
        <f>X123</f>
        <v>7.2600000000000007</v>
      </c>
      <c r="N123" s="83">
        <v>1</v>
      </c>
      <c r="O123" s="204">
        <f>$K$5-$U$17</f>
        <v>9</v>
      </c>
      <c r="P123" s="83" t="s">
        <v>75</v>
      </c>
      <c r="Q123" s="83" t="s">
        <v>75</v>
      </c>
      <c r="R123" s="83" t="s">
        <v>75</v>
      </c>
      <c r="S123" s="29" t="s">
        <v>136</v>
      </c>
      <c r="T123" s="83">
        <v>3</v>
      </c>
      <c r="U123" s="4">
        <v>300</v>
      </c>
      <c r="V123" s="10" t="s">
        <v>393</v>
      </c>
      <c r="W123" s="244">
        <f>(T123/60)/U123</f>
        <v>1.6666666666666669E-4</v>
      </c>
      <c r="X123" s="60">
        <f>W123*43560</f>
        <v>7.2600000000000007</v>
      </c>
    </row>
    <row r="124" spans="1:24" ht="18" customHeight="1" x14ac:dyDescent="0.4">
      <c r="A124" s="185" t="s">
        <v>456</v>
      </c>
      <c r="B124" s="205">
        <f t="shared" si="152"/>
        <v>4.2407407407407396</v>
      </c>
      <c r="C124" s="200"/>
      <c r="D124" s="201">
        <f t="shared" ref="D124" si="156">IF($D$5=0,B124/$H$5,B124/$J$14)</f>
        <v>25.799813780260706</v>
      </c>
      <c r="E124" s="200"/>
      <c r="F124" s="201">
        <f t="shared" si="125"/>
        <v>0.59228222636043859</v>
      </c>
      <c r="G124" s="202">
        <f t="shared" si="126"/>
        <v>8.5467031583260321E-3</v>
      </c>
      <c r="H124" s="222">
        <f>M124*$T$16*N124*J124</f>
        <v>2.5444444444444438</v>
      </c>
      <c r="I124" s="204" t="str">
        <f t="shared" si="127"/>
        <v xml:space="preserve">hour </v>
      </c>
      <c r="J124" s="204">
        <f>IF($S$16&gt;0,1-$M$6,0)</f>
        <v>1</v>
      </c>
      <c r="K124" s="193">
        <f t="shared" si="128"/>
        <v>15</v>
      </c>
      <c r="L124" s="213" t="str">
        <f t="shared" ref="L124" si="157">CONCATENATE("/ ",I124)</f>
        <v xml:space="preserve">/ hour </v>
      </c>
      <c r="M124" s="222">
        <f>X124</f>
        <v>24.2</v>
      </c>
      <c r="N124" s="83">
        <v>1</v>
      </c>
      <c r="O124" s="204">
        <f>$K$5-$U$17</f>
        <v>9</v>
      </c>
      <c r="P124" s="83" t="s">
        <v>75</v>
      </c>
      <c r="Q124" s="83" t="s">
        <v>75</v>
      </c>
      <c r="R124" s="83" t="s">
        <v>75</v>
      </c>
      <c r="S124" s="29" t="s">
        <v>136</v>
      </c>
      <c r="T124" s="83">
        <v>10</v>
      </c>
      <c r="U124" s="4">
        <v>300</v>
      </c>
      <c r="V124" s="10" t="s">
        <v>393</v>
      </c>
      <c r="W124" s="244">
        <f>(T124/60)/U124</f>
        <v>5.5555555555555556E-4</v>
      </c>
      <c r="X124" s="60">
        <f>W124*43560</f>
        <v>24.2</v>
      </c>
    </row>
    <row r="125" spans="1:24" ht="18" customHeight="1" x14ac:dyDescent="0.4">
      <c r="A125" s="27" t="s">
        <v>284</v>
      </c>
      <c r="B125" s="19">
        <f t="shared" si="148"/>
        <v>0</v>
      </c>
      <c r="C125" s="9"/>
      <c r="D125" s="20">
        <f t="shared" si="124"/>
        <v>0</v>
      </c>
      <c r="E125" s="9"/>
      <c r="F125" s="81">
        <f t="shared" si="125"/>
        <v>0</v>
      </c>
      <c r="G125" s="71">
        <f t="shared" si="126"/>
        <v>0</v>
      </c>
      <c r="H125" s="29">
        <f>M125*(SUM($H$3:$H$4))*N125*J125</f>
        <v>0</v>
      </c>
      <c r="I125" s="29" t="str">
        <f t="shared" si="127"/>
        <v xml:space="preserve">hour </v>
      </c>
      <c r="J125" s="83">
        <v>0</v>
      </c>
      <c r="K125" s="30">
        <f t="shared" si="128"/>
        <v>15</v>
      </c>
      <c r="L125" s="10" t="str">
        <f t="shared" si="129"/>
        <v xml:space="preserve">/ hour </v>
      </c>
      <c r="M125" s="83">
        <v>0</v>
      </c>
      <c r="N125" s="83">
        <v>0</v>
      </c>
      <c r="O125" s="29">
        <f t="shared" si="130"/>
        <v>10</v>
      </c>
      <c r="P125" s="83" t="s">
        <v>75</v>
      </c>
      <c r="Q125" s="83" t="s">
        <v>75</v>
      </c>
      <c r="R125" s="29" t="s">
        <v>136</v>
      </c>
      <c r="S125" s="29" t="s">
        <v>136</v>
      </c>
      <c r="T125" s="29"/>
      <c r="U125" s="29"/>
      <c r="V125" s="29"/>
      <c r="W125" s="11"/>
    </row>
    <row r="126" spans="1:24" ht="18" customHeight="1" x14ac:dyDescent="0.4">
      <c r="A126" s="158" t="s">
        <v>285</v>
      </c>
      <c r="B126" s="159">
        <f t="shared" si="148"/>
        <v>0</v>
      </c>
      <c r="C126" s="9"/>
      <c r="D126" s="20">
        <f t="shared" si="124"/>
        <v>0</v>
      </c>
      <c r="E126" s="9"/>
      <c r="F126" s="81">
        <f t="shared" si="125"/>
        <v>0</v>
      </c>
      <c r="G126" s="71">
        <f t="shared" si="126"/>
        <v>0</v>
      </c>
      <c r="H126" s="29">
        <f>M126*(SUM($H$3:$H$4))*N126*J126</f>
        <v>0</v>
      </c>
      <c r="I126" s="29" t="str">
        <f t="shared" si="127"/>
        <v xml:space="preserve">hour </v>
      </c>
      <c r="J126" s="83">
        <v>1</v>
      </c>
      <c r="K126" s="30">
        <f t="shared" si="128"/>
        <v>15</v>
      </c>
      <c r="L126" s="10" t="str">
        <f>CONCATENATE("/ ",I126)</f>
        <v xml:space="preserve">/ hour </v>
      </c>
      <c r="M126" s="60">
        <f>S126/$AE$4</f>
        <v>1.32</v>
      </c>
      <c r="N126" s="83">
        <v>1</v>
      </c>
      <c r="O126" s="29">
        <f t="shared" si="130"/>
        <v>10</v>
      </c>
      <c r="P126" s="83" t="s">
        <v>75</v>
      </c>
      <c r="Q126" s="83" t="s">
        <v>75</v>
      </c>
      <c r="R126" s="83">
        <f>6+3</f>
        <v>9</v>
      </c>
      <c r="S126" s="60">
        <f t="shared" ref="S126:S130" si="158">(R126/60)</f>
        <v>0.15</v>
      </c>
      <c r="T126" s="60"/>
      <c r="U126" s="60"/>
      <c r="V126" s="60"/>
      <c r="W126" s="11"/>
    </row>
    <row r="127" spans="1:24" ht="18" customHeight="1" x14ac:dyDescent="0.4">
      <c r="A127" s="158" t="s">
        <v>286</v>
      </c>
      <c r="B127" s="19">
        <f>((H127*K127)/O127)*0</f>
        <v>0</v>
      </c>
      <c r="C127" s="9"/>
      <c r="D127" s="20">
        <f t="shared" si="124"/>
        <v>0</v>
      </c>
      <c r="E127" s="9"/>
      <c r="F127" s="81">
        <f t="shared" si="125"/>
        <v>0</v>
      </c>
      <c r="G127" s="71">
        <f t="shared" si="126"/>
        <v>0</v>
      </c>
      <c r="H127" s="60">
        <f>M127*(SUM($H$3:$H$4))*N127*J127</f>
        <v>0</v>
      </c>
      <c r="I127" s="29" t="str">
        <f t="shared" si="127"/>
        <v xml:space="preserve">hour </v>
      </c>
      <c r="J127" s="83">
        <v>0</v>
      </c>
      <c r="K127" s="30">
        <f t="shared" si="128"/>
        <v>15</v>
      </c>
      <c r="L127" s="10" t="str">
        <f t="shared" si="129"/>
        <v xml:space="preserve">/ hour </v>
      </c>
      <c r="M127" s="60">
        <f>S127/$AE$4</f>
        <v>5.5733333333333333</v>
      </c>
      <c r="N127" s="83">
        <v>1</v>
      </c>
      <c r="O127" s="29">
        <f t="shared" si="130"/>
        <v>10</v>
      </c>
      <c r="P127" s="83" t="s">
        <v>75</v>
      </c>
      <c r="Q127" s="83" t="s">
        <v>75</v>
      </c>
      <c r="R127" s="83">
        <f>AVERAGE(38)</f>
        <v>38</v>
      </c>
      <c r="S127" s="60">
        <f t="shared" si="158"/>
        <v>0.6333333333333333</v>
      </c>
      <c r="T127" s="13" t="s">
        <v>443</v>
      </c>
      <c r="U127" s="13" t="s">
        <v>444</v>
      </c>
      <c r="V127" s="61"/>
      <c r="W127" s="13" t="s">
        <v>445</v>
      </c>
      <c r="X127" s="13" t="s">
        <v>157</v>
      </c>
    </row>
    <row r="128" spans="1:24" ht="18" customHeight="1" x14ac:dyDescent="0.4">
      <c r="A128" s="185" t="s">
        <v>286</v>
      </c>
      <c r="B128" s="205">
        <f>(H128*K128)/O128</f>
        <v>1.7669753086419744</v>
      </c>
      <c r="C128" s="200"/>
      <c r="D128" s="201">
        <f t="shared" ref="D128:D129" si="159">IF($D$5=0,B128/$H$5,B128/$J$14)</f>
        <v>10.749922408441959</v>
      </c>
      <c r="E128" s="200"/>
      <c r="F128" s="201">
        <f t="shared" si="125"/>
        <v>0.24678426098351602</v>
      </c>
      <c r="G128" s="219">
        <f t="shared" si="126"/>
        <v>3.5611263159691792E-3</v>
      </c>
      <c r="H128" s="222">
        <f>M128*$T$16*N128*J128</f>
        <v>1.0601851851851847</v>
      </c>
      <c r="I128" s="204" t="str">
        <f t="shared" si="127"/>
        <v xml:space="preserve">hour </v>
      </c>
      <c r="J128" s="204">
        <f>IF(($S$16*(SUM($AD$11:$AD$12)+SUM($AD$17)))&gt;0,1-$M$6,0)</f>
        <v>1</v>
      </c>
      <c r="K128" s="193">
        <f t="shared" si="128"/>
        <v>15</v>
      </c>
      <c r="L128" s="213" t="str">
        <f t="shared" ref="L128:L129" si="160">CONCATENATE("/ ",I128)</f>
        <v xml:space="preserve">/ hour </v>
      </c>
      <c r="M128" s="222">
        <f>X128</f>
        <v>10.083333333333332</v>
      </c>
      <c r="N128" s="83">
        <v>1</v>
      </c>
      <c r="O128" s="204">
        <f>$K$5-$U$17</f>
        <v>9</v>
      </c>
      <c r="P128" s="83" t="s">
        <v>75</v>
      </c>
      <c r="Q128" s="83" t="s">
        <v>75</v>
      </c>
      <c r="R128" s="83">
        <f>AVERAGE(38)</f>
        <v>38</v>
      </c>
      <c r="S128" s="222">
        <f t="shared" ref="S128:S129" si="161">(R128/60)</f>
        <v>0.6333333333333333</v>
      </c>
      <c r="T128" s="83">
        <f>20*2</f>
        <v>40</v>
      </c>
      <c r="U128" s="4">
        <f>48*6*10</f>
        <v>2880</v>
      </c>
      <c r="V128" s="10" t="s">
        <v>393</v>
      </c>
      <c r="W128" s="244">
        <f>(T128/60)/U128</f>
        <v>2.3148148148148146E-4</v>
      </c>
      <c r="X128" s="60">
        <f>W128*43560</f>
        <v>10.083333333333332</v>
      </c>
    </row>
    <row r="129" spans="1:24" ht="18" customHeight="1" x14ac:dyDescent="0.4">
      <c r="A129" s="185" t="s">
        <v>287</v>
      </c>
      <c r="B129" s="205">
        <f t="shared" ref="B129" si="162">((H129*K129)/O129)</f>
        <v>0</v>
      </c>
      <c r="C129" s="200"/>
      <c r="D129" s="201">
        <f t="shared" si="159"/>
        <v>0</v>
      </c>
      <c r="E129" s="200"/>
      <c r="F129" s="201">
        <f t="shared" si="125"/>
        <v>0</v>
      </c>
      <c r="G129" s="202">
        <f t="shared" si="126"/>
        <v>0</v>
      </c>
      <c r="H129" s="222">
        <f>M129*$T$16*N129*J129</f>
        <v>0</v>
      </c>
      <c r="I129" s="204" t="str">
        <f t="shared" si="127"/>
        <v xml:space="preserve">hour </v>
      </c>
      <c r="J129" s="204">
        <f>IF(($S$16*(SUM($AD$11:$AD$12)+SUM($AD$17)))&gt;0,0,1-$M$6)</f>
        <v>0</v>
      </c>
      <c r="K129" s="193">
        <f t="shared" si="128"/>
        <v>15</v>
      </c>
      <c r="L129" s="213" t="str">
        <f t="shared" si="160"/>
        <v xml:space="preserve">/ hour </v>
      </c>
      <c r="M129" s="222">
        <f>S129/$AE$4</f>
        <v>6.2039999999999997</v>
      </c>
      <c r="N129" s="83">
        <v>1.5</v>
      </c>
      <c r="O129" s="204">
        <f>$K$5-$U$17</f>
        <v>9</v>
      </c>
      <c r="P129" s="83" t="s">
        <v>75</v>
      </c>
      <c r="Q129" s="83" t="s">
        <v>75</v>
      </c>
      <c r="R129" s="83">
        <v>42.3</v>
      </c>
      <c r="S129" s="222">
        <f t="shared" si="161"/>
        <v>0.70499999999999996</v>
      </c>
      <c r="T129" s="60"/>
      <c r="U129" s="60"/>
      <c r="V129" s="60"/>
      <c r="W129" s="11"/>
    </row>
    <row r="130" spans="1:24" ht="18" customHeight="1" x14ac:dyDescent="0.4">
      <c r="A130" s="158" t="s">
        <v>287</v>
      </c>
      <c r="B130" s="159">
        <f t="shared" si="148"/>
        <v>0</v>
      </c>
      <c r="C130" s="9"/>
      <c r="D130" s="20">
        <f t="shared" si="124"/>
        <v>0</v>
      </c>
      <c r="E130" s="9"/>
      <c r="F130" s="81">
        <f t="shared" si="125"/>
        <v>0</v>
      </c>
      <c r="G130" s="71">
        <f t="shared" si="126"/>
        <v>0</v>
      </c>
      <c r="H130" s="60">
        <f>M130*(SUM($H$3:$H$4))*N130*J130</f>
        <v>0</v>
      </c>
      <c r="I130" s="29" t="str">
        <f t="shared" si="127"/>
        <v xml:space="preserve">hour </v>
      </c>
      <c r="J130" s="83">
        <v>1</v>
      </c>
      <c r="K130" s="30">
        <f t="shared" si="128"/>
        <v>15</v>
      </c>
      <c r="L130" s="10" t="str">
        <f t="shared" si="129"/>
        <v xml:space="preserve">/ hour </v>
      </c>
      <c r="M130" s="60">
        <f>S130/$AE$4</f>
        <v>6.2039999999999997</v>
      </c>
      <c r="N130" s="83">
        <v>1.5</v>
      </c>
      <c r="O130" s="29">
        <f t="shared" si="130"/>
        <v>10</v>
      </c>
      <c r="P130" s="83" t="s">
        <v>75</v>
      </c>
      <c r="Q130" s="83" t="s">
        <v>75</v>
      </c>
      <c r="R130" s="83">
        <v>42.3</v>
      </c>
      <c r="S130" s="60">
        <f t="shared" si="158"/>
        <v>0.70499999999999996</v>
      </c>
      <c r="T130" s="60"/>
      <c r="U130" s="60"/>
      <c r="V130" s="60"/>
      <c r="W130" s="11"/>
    </row>
    <row r="131" spans="1:24" ht="18" customHeight="1" x14ac:dyDescent="0.4">
      <c r="A131" s="27" t="s">
        <v>288</v>
      </c>
      <c r="B131" s="19">
        <f t="shared" si="148"/>
        <v>0</v>
      </c>
      <c r="C131" s="9"/>
      <c r="D131" s="20">
        <f t="shared" si="124"/>
        <v>0</v>
      </c>
      <c r="E131" s="9"/>
      <c r="F131" s="81">
        <f t="shared" si="125"/>
        <v>0</v>
      </c>
      <c r="G131" s="71">
        <f t="shared" si="126"/>
        <v>0</v>
      </c>
      <c r="H131" s="61">
        <f>M131*(SUM($H$3:$H$4))*N131*J131</f>
        <v>0</v>
      </c>
      <c r="I131" s="29" t="str">
        <f t="shared" ref="I131:I137" si="163">$K$2</f>
        <v xml:space="preserve">hour </v>
      </c>
      <c r="J131" s="83">
        <v>0</v>
      </c>
      <c r="K131" s="30">
        <f t="shared" si="128"/>
        <v>15</v>
      </c>
      <c r="L131" s="10" t="str">
        <f>CONCATENATE("/ ",I131)</f>
        <v xml:space="preserve">/ hour </v>
      </c>
      <c r="M131" s="83">
        <v>0</v>
      </c>
      <c r="N131" s="83">
        <v>0</v>
      </c>
      <c r="O131" s="29">
        <f t="shared" si="130"/>
        <v>10</v>
      </c>
      <c r="P131" s="83" t="s">
        <v>75</v>
      </c>
      <c r="Q131" s="83" t="s">
        <v>75</v>
      </c>
      <c r="R131" s="29" t="s">
        <v>136</v>
      </c>
      <c r="S131" s="29" t="s">
        <v>136</v>
      </c>
      <c r="T131" s="13" t="s">
        <v>720</v>
      </c>
      <c r="U131" s="13" t="s">
        <v>721</v>
      </c>
      <c r="V131" s="13" t="s">
        <v>722</v>
      </c>
      <c r="W131" s="318"/>
    </row>
    <row r="132" spans="1:24" ht="18" customHeight="1" x14ac:dyDescent="0.4">
      <c r="A132" s="674" t="s">
        <v>723</v>
      </c>
      <c r="B132" s="19">
        <f t="shared" ref="B132" si="164">((H132*K132)/O132)</f>
        <v>0</v>
      </c>
      <c r="C132" s="9"/>
      <c r="D132" s="20">
        <f t="shared" ref="D132" si="165">IF($D$5=0,B132/$H$5,B132/$J$14)</f>
        <v>0</v>
      </c>
      <c r="E132" s="9"/>
      <c r="F132" s="81">
        <f t="shared" si="125"/>
        <v>0</v>
      </c>
      <c r="G132" s="71">
        <f t="shared" si="126"/>
        <v>0</v>
      </c>
      <c r="H132" s="60">
        <f>M132*$H$1*N132*J132</f>
        <v>0</v>
      </c>
      <c r="I132" s="29" t="str">
        <f t="shared" si="163"/>
        <v xml:space="preserve">hour </v>
      </c>
      <c r="J132" s="29">
        <f>$M$6</f>
        <v>0</v>
      </c>
      <c r="K132" s="30">
        <f t="shared" si="128"/>
        <v>15</v>
      </c>
      <c r="L132" s="10" t="str">
        <f>CONCATENATE("/ ",I132)</f>
        <v xml:space="preserve">/ hour </v>
      </c>
      <c r="M132" s="29">
        <f>V132</f>
        <v>16</v>
      </c>
      <c r="N132" s="83">
        <v>1</v>
      </c>
      <c r="O132" s="29">
        <f t="shared" si="130"/>
        <v>10</v>
      </c>
      <c r="P132" s="83" t="s">
        <v>75</v>
      </c>
      <c r="Q132" s="83" t="s">
        <v>75</v>
      </c>
      <c r="R132" s="29" t="s">
        <v>136</v>
      </c>
      <c r="S132" s="29" t="s">
        <v>136</v>
      </c>
      <c r="T132" s="83">
        <v>30</v>
      </c>
      <c r="U132" s="29">
        <f>T132/0.03125</f>
        <v>960</v>
      </c>
      <c r="V132" s="29">
        <f>U132/60</f>
        <v>16</v>
      </c>
      <c r="W132" s="318"/>
    </row>
    <row r="133" spans="1:24" ht="18" customHeight="1" x14ac:dyDescent="0.4">
      <c r="A133" s="158" t="s">
        <v>289</v>
      </c>
      <c r="B133" s="159">
        <f t="shared" si="148"/>
        <v>0</v>
      </c>
      <c r="C133" s="9"/>
      <c r="D133" s="20">
        <f t="shared" si="124"/>
        <v>0</v>
      </c>
      <c r="E133" s="9"/>
      <c r="F133" s="81">
        <f t="shared" si="125"/>
        <v>0</v>
      </c>
      <c r="G133" s="71">
        <f t="shared" si="126"/>
        <v>0</v>
      </c>
      <c r="H133" s="60">
        <f t="shared" ref="H133:H134" si="166">M133*(SUM($H$3:$H$4))*N133*J133</f>
        <v>0</v>
      </c>
      <c r="I133" s="29" t="str">
        <f t="shared" si="163"/>
        <v xml:space="preserve">hour </v>
      </c>
      <c r="J133" s="83">
        <v>1</v>
      </c>
      <c r="K133" s="30">
        <f>$M$2</f>
        <v>15</v>
      </c>
      <c r="L133" s="10" t="str">
        <f t="shared" si="129"/>
        <v xml:space="preserve">/ hour </v>
      </c>
      <c r="M133" s="60">
        <f>S133/$AE$4</f>
        <v>1.4666666666666666</v>
      </c>
      <c r="N133" s="83">
        <v>1</v>
      </c>
      <c r="O133" s="83">
        <v>1</v>
      </c>
      <c r="P133" s="83" t="s">
        <v>75</v>
      </c>
      <c r="Q133" s="83" t="s">
        <v>75</v>
      </c>
      <c r="R133" s="83">
        <v>10</v>
      </c>
      <c r="S133" s="60">
        <f t="shared" ref="S133:S137" si="167">(R133/60)</f>
        <v>0.16666666666666666</v>
      </c>
      <c r="T133" s="60"/>
      <c r="U133" s="60"/>
      <c r="V133" s="60"/>
      <c r="W133" s="321"/>
    </row>
    <row r="134" spans="1:24" ht="18" customHeight="1" x14ac:dyDescent="0.4">
      <c r="A134" s="158" t="s">
        <v>290</v>
      </c>
      <c r="B134" s="159">
        <f t="shared" si="148"/>
        <v>0</v>
      </c>
      <c r="C134" s="9"/>
      <c r="D134" s="20">
        <f t="shared" si="124"/>
        <v>0</v>
      </c>
      <c r="E134" s="9"/>
      <c r="F134" s="81">
        <f t="shared" si="125"/>
        <v>0</v>
      </c>
      <c r="G134" s="71">
        <f t="shared" si="126"/>
        <v>0</v>
      </c>
      <c r="H134" s="60">
        <f t="shared" si="166"/>
        <v>0</v>
      </c>
      <c r="I134" s="29" t="str">
        <f t="shared" si="163"/>
        <v xml:space="preserve">hour </v>
      </c>
      <c r="J134" s="83">
        <f>(2*4)</f>
        <v>8</v>
      </c>
      <c r="K134" s="30">
        <f>$M$2</f>
        <v>15</v>
      </c>
      <c r="L134" s="10" t="str">
        <f t="shared" si="129"/>
        <v xml:space="preserve">/ hour </v>
      </c>
      <c r="M134" s="60">
        <f>S134/$AE$4</f>
        <v>0.14666666666666667</v>
      </c>
      <c r="N134" s="83">
        <v>1</v>
      </c>
      <c r="O134" s="83">
        <v>1</v>
      </c>
      <c r="P134" s="83" t="s">
        <v>75</v>
      </c>
      <c r="Q134" s="83" t="s">
        <v>75</v>
      </c>
      <c r="R134" s="83">
        <v>1</v>
      </c>
      <c r="S134" s="60">
        <f t="shared" si="167"/>
        <v>1.6666666666666666E-2</v>
      </c>
      <c r="T134" s="60"/>
      <c r="U134" s="60"/>
      <c r="V134" s="60"/>
      <c r="W134" s="321"/>
    </row>
    <row r="135" spans="1:24" ht="18" customHeight="1" x14ac:dyDescent="0.4">
      <c r="A135" s="185" t="s">
        <v>289</v>
      </c>
      <c r="B135" s="205">
        <f t="shared" ref="B135:B136" si="168">((H135*K135)/O135)</f>
        <v>0.13030303030303025</v>
      </c>
      <c r="C135" s="200"/>
      <c r="D135" s="201">
        <f t="shared" ref="D135:D136" si="169">IF($D$5=0,B135/$H$5,B135/$J$14)</f>
        <v>0.79273743016759768</v>
      </c>
      <c r="E135" s="200"/>
      <c r="F135" s="201">
        <f t="shared" si="125"/>
        <v>1.8198747249026575E-2</v>
      </c>
      <c r="G135" s="242">
        <f t="shared" si="126"/>
        <v>2.626100930744084E-4</v>
      </c>
      <c r="H135" s="222">
        <f>M135*$T$15*N135*J135</f>
        <v>8.6868686868686831E-2</v>
      </c>
      <c r="I135" s="204" t="str">
        <f t="shared" si="163"/>
        <v xml:space="preserve">hour </v>
      </c>
      <c r="J135" s="83">
        <v>1</v>
      </c>
      <c r="K135" s="193">
        <f>$M$2</f>
        <v>15</v>
      </c>
      <c r="L135" s="213" t="str">
        <f t="shared" ref="L135:L136" si="170">CONCATENATE("/ ",I135)</f>
        <v xml:space="preserve">/ hour </v>
      </c>
      <c r="M135" s="222">
        <f>S135/$AE$4</f>
        <v>1.4666666666666666</v>
      </c>
      <c r="N135" s="83">
        <v>1</v>
      </c>
      <c r="O135" s="29">
        <f t="shared" ref="O135:O136" si="171">$K$5</f>
        <v>10</v>
      </c>
      <c r="P135" s="83" t="s">
        <v>75</v>
      </c>
      <c r="Q135" s="83" t="s">
        <v>75</v>
      </c>
      <c r="R135" s="83">
        <v>10</v>
      </c>
      <c r="S135" s="222">
        <f t="shared" ref="S135:S136" si="172">(R135/60)</f>
        <v>0.16666666666666666</v>
      </c>
      <c r="T135" s="60"/>
      <c r="U135" s="60"/>
      <c r="V135" s="60"/>
      <c r="W135" s="321"/>
    </row>
    <row r="136" spans="1:24" ht="18" customHeight="1" x14ac:dyDescent="0.4">
      <c r="A136" s="185" t="s">
        <v>290</v>
      </c>
      <c r="B136" s="205">
        <f t="shared" si="168"/>
        <v>0.10424242424242421</v>
      </c>
      <c r="C136" s="200"/>
      <c r="D136" s="201">
        <f t="shared" si="169"/>
        <v>0.63418994413407814</v>
      </c>
      <c r="E136" s="200"/>
      <c r="F136" s="201">
        <f t="shared" si="125"/>
        <v>1.4558997799221261E-2</v>
      </c>
      <c r="G136" s="242">
        <f t="shared" si="126"/>
        <v>2.1008807445952675E-4</v>
      </c>
      <c r="H136" s="222">
        <f>M136*$T$15*N136*J136</f>
        <v>6.9494949494949471E-2</v>
      </c>
      <c r="I136" s="204" t="str">
        <f t="shared" si="163"/>
        <v xml:space="preserve">hour </v>
      </c>
      <c r="J136" s="83">
        <f>(2*4)</f>
        <v>8</v>
      </c>
      <c r="K136" s="193">
        <f>$M$2</f>
        <v>15</v>
      </c>
      <c r="L136" s="213" t="str">
        <f t="shared" si="170"/>
        <v xml:space="preserve">/ hour </v>
      </c>
      <c r="M136" s="222">
        <f>S136/$AE$4</f>
        <v>0.14666666666666667</v>
      </c>
      <c r="N136" s="83">
        <v>1</v>
      </c>
      <c r="O136" s="29">
        <f t="shared" si="171"/>
        <v>10</v>
      </c>
      <c r="P136" s="83" t="s">
        <v>75</v>
      </c>
      <c r="Q136" s="83" t="s">
        <v>75</v>
      </c>
      <c r="R136" s="83">
        <v>1</v>
      </c>
      <c r="S136" s="222">
        <f t="shared" si="172"/>
        <v>1.6666666666666666E-2</v>
      </c>
      <c r="T136" s="60"/>
      <c r="U136" s="60"/>
      <c r="V136" s="60"/>
      <c r="W136" s="321"/>
    </row>
    <row r="137" spans="1:24" ht="18" customHeight="1" x14ac:dyDescent="0.4">
      <c r="A137" s="158" t="s">
        <v>291</v>
      </c>
      <c r="B137" s="19">
        <f t="shared" si="148"/>
        <v>0</v>
      </c>
      <c r="C137" s="9"/>
      <c r="D137" s="20">
        <f t="shared" si="124"/>
        <v>0</v>
      </c>
      <c r="E137" s="9"/>
      <c r="F137" s="81">
        <f t="shared" si="125"/>
        <v>0</v>
      </c>
      <c r="G137" s="71">
        <f t="shared" si="126"/>
        <v>0</v>
      </c>
      <c r="H137" s="61">
        <f>M137*(SUM($H$3:$H$4))*N137*J137</f>
        <v>0</v>
      </c>
      <c r="I137" s="29" t="str">
        <f t="shared" si="163"/>
        <v xml:space="preserve">hour </v>
      </c>
      <c r="J137" s="83">
        <v>0</v>
      </c>
      <c r="K137" s="30">
        <f>$M$2</f>
        <v>15</v>
      </c>
      <c r="L137" s="10" t="str">
        <f>CONCATENATE("/ ",I137)</f>
        <v xml:space="preserve">/ hour </v>
      </c>
      <c r="M137" s="60">
        <f>S137/$AE$4</f>
        <v>7.7</v>
      </c>
      <c r="N137" s="83">
        <v>0</v>
      </c>
      <c r="O137" s="83">
        <v>1</v>
      </c>
      <c r="P137" s="83">
        <v>45</v>
      </c>
      <c r="Q137" s="83">
        <v>60</v>
      </c>
      <c r="R137" s="83">
        <f>AVERAGE(45,60)</f>
        <v>52.5</v>
      </c>
      <c r="S137" s="60">
        <f t="shared" si="167"/>
        <v>0.875</v>
      </c>
      <c r="T137" s="13" t="s">
        <v>443</v>
      </c>
      <c r="U137" s="13" t="s">
        <v>444</v>
      </c>
      <c r="V137" s="61"/>
      <c r="W137" s="13" t="s">
        <v>445</v>
      </c>
      <c r="X137" s="13" t="s">
        <v>157</v>
      </c>
    </row>
    <row r="138" spans="1:24" ht="18" customHeight="1" x14ac:dyDescent="0.4">
      <c r="A138" s="185" t="s">
        <v>471</v>
      </c>
      <c r="B138" s="205">
        <f>((H138*K138)/O138)</f>
        <v>1.037037037037037</v>
      </c>
      <c r="C138" s="200"/>
      <c r="D138" s="201">
        <f t="shared" si="124"/>
        <v>6.3091247672253274</v>
      </c>
      <c r="E138" s="200"/>
      <c r="F138" s="201">
        <f t="shared" si="125"/>
        <v>0.1448375750051728</v>
      </c>
      <c r="G138" s="219">
        <f t="shared" si="126"/>
        <v>2.0900234797653185E-3</v>
      </c>
      <c r="H138" s="222">
        <f>M138*$Y$9*N138*J138</f>
        <v>0.62222222222222212</v>
      </c>
      <c r="I138" s="204" t="str">
        <f t="shared" ref="I138" si="173">$K$2</f>
        <v xml:space="preserve">hour </v>
      </c>
      <c r="J138" s="83">
        <v>1</v>
      </c>
      <c r="K138" s="193">
        <f t="shared" ref="K138" si="174">$M$2</f>
        <v>15</v>
      </c>
      <c r="L138" s="213" t="str">
        <f t="shared" ref="L138" si="175">CONCATENATE("/ ",I138)</f>
        <v xml:space="preserve">/ hour </v>
      </c>
      <c r="M138" s="222">
        <f>X138</f>
        <v>33.880000000000003</v>
      </c>
      <c r="N138" s="83">
        <v>1</v>
      </c>
      <c r="O138" s="204">
        <f>$K$5-$Z$13</f>
        <v>9</v>
      </c>
      <c r="P138" s="83" t="s">
        <v>75</v>
      </c>
      <c r="Q138" s="83" t="s">
        <v>75</v>
      </c>
      <c r="R138" s="83" t="s">
        <v>75</v>
      </c>
      <c r="S138" s="204" t="s">
        <v>136</v>
      </c>
      <c r="T138" s="83">
        <f>(2*2)+5+5</f>
        <v>14</v>
      </c>
      <c r="U138" s="4">
        <v>300</v>
      </c>
      <c r="V138" s="10" t="s">
        <v>393</v>
      </c>
      <c r="W138" s="244">
        <f>(T138/60)/U138</f>
        <v>7.7777777777777784E-4</v>
      </c>
      <c r="X138" s="60">
        <f>W138*43560</f>
        <v>33.880000000000003</v>
      </c>
    </row>
    <row r="139" spans="1:24" ht="18" customHeight="1" x14ac:dyDescent="0.4">
      <c r="A139" s="2" t="s">
        <v>87</v>
      </c>
      <c r="B139" s="19">
        <f t="shared" si="148"/>
        <v>0</v>
      </c>
      <c r="C139" s="9"/>
      <c r="D139" s="20">
        <f t="shared" si="124"/>
        <v>0</v>
      </c>
      <c r="E139" s="9"/>
      <c r="F139" s="81">
        <f t="shared" si="125"/>
        <v>0</v>
      </c>
      <c r="G139" s="71">
        <f t="shared" si="126"/>
        <v>0</v>
      </c>
      <c r="H139" s="29">
        <f>M139*$H$5*N139*J139</f>
        <v>0</v>
      </c>
      <c r="I139" s="29" t="str">
        <f>$K$2</f>
        <v xml:space="preserve">hour </v>
      </c>
      <c r="J139" s="83">
        <v>0</v>
      </c>
      <c r="K139" s="30">
        <f>$M$2</f>
        <v>15</v>
      </c>
      <c r="L139" s="10" t="str">
        <f>CONCATENATE("/ ",I139)</f>
        <v xml:space="preserve">/ hour </v>
      </c>
      <c r="M139" s="83">
        <v>0</v>
      </c>
      <c r="N139" s="83">
        <v>0</v>
      </c>
      <c r="O139" s="83">
        <v>1</v>
      </c>
      <c r="P139" s="83" t="s">
        <v>75</v>
      </c>
      <c r="Q139" s="83" t="s">
        <v>75</v>
      </c>
      <c r="R139" s="29" t="s">
        <v>136</v>
      </c>
      <c r="S139" s="29" t="s">
        <v>136</v>
      </c>
      <c r="T139" s="29"/>
      <c r="U139" s="29"/>
      <c r="V139" s="29"/>
      <c r="W139" s="11"/>
    </row>
    <row r="140" spans="1:24" ht="18" customHeight="1" x14ac:dyDescent="0.4">
      <c r="A140" s="24" t="s">
        <v>733</v>
      </c>
      <c r="B140" s="28"/>
      <c r="C140" s="9"/>
      <c r="D140" s="17"/>
      <c r="E140" s="9"/>
      <c r="F140" s="17"/>
      <c r="G140" s="70"/>
      <c r="H140" s="13" t="s">
        <v>232</v>
      </c>
      <c r="I140" s="13" t="s">
        <v>143</v>
      </c>
      <c r="J140" s="13" t="s">
        <v>82</v>
      </c>
      <c r="K140" s="13" t="s">
        <v>172</v>
      </c>
      <c r="L140" s="18" t="s">
        <v>147</v>
      </c>
      <c r="M140" s="13" t="s">
        <v>157</v>
      </c>
      <c r="N140" s="13" t="s">
        <v>83</v>
      </c>
      <c r="O140" s="13" t="s">
        <v>79</v>
      </c>
      <c r="P140" s="13" t="s">
        <v>73</v>
      </c>
      <c r="Q140" s="13" t="s">
        <v>74</v>
      </c>
      <c r="R140" s="13" t="s">
        <v>249</v>
      </c>
      <c r="S140" s="13" t="s">
        <v>342</v>
      </c>
      <c r="T140" s="187"/>
      <c r="U140" s="187"/>
      <c r="V140" s="187"/>
      <c r="W140" s="11"/>
    </row>
    <row r="141" spans="1:24" ht="18" customHeight="1" x14ac:dyDescent="0.4">
      <c r="A141" s="27" t="s">
        <v>292</v>
      </c>
      <c r="B141" s="19">
        <f t="shared" ref="B141:B143" si="176">((H141*K141)/O141)</f>
        <v>0</v>
      </c>
      <c r="C141" s="9"/>
      <c r="D141" s="20">
        <f t="shared" ref="D141:D143" si="177">IF($D$5=0,B141/$H$5,B141/$J$14)</f>
        <v>0</v>
      </c>
      <c r="E141" s="9"/>
      <c r="F141" s="81">
        <f>IF($F$5=0,(B141/($H$6/1000)),B141/$M$416)</f>
        <v>0</v>
      </c>
      <c r="G141" s="71">
        <f>B141/$B$313</f>
        <v>0</v>
      </c>
      <c r="H141" s="29">
        <f t="shared" ref="H141:H142" si="178">M141*$H$5*N141*J141</f>
        <v>0</v>
      </c>
      <c r="I141" s="29" t="str">
        <f t="shared" ref="I141:I164" si="179">$K$2</f>
        <v xml:space="preserve">hour </v>
      </c>
      <c r="J141" s="83">
        <v>0</v>
      </c>
      <c r="K141" s="30">
        <f t="shared" ref="K141:K164" si="180">$M$2</f>
        <v>15</v>
      </c>
      <c r="L141" s="10" t="str">
        <f t="shared" ref="L141:L143" si="181">CONCATENATE("/ ",I141)</f>
        <v xml:space="preserve">/ hour </v>
      </c>
      <c r="M141" s="83">
        <v>0</v>
      </c>
      <c r="N141" s="83">
        <v>0</v>
      </c>
      <c r="O141" s="83">
        <v>1</v>
      </c>
      <c r="P141" s="83" t="s">
        <v>75</v>
      </c>
      <c r="Q141" s="83" t="s">
        <v>75</v>
      </c>
      <c r="R141" s="83">
        <v>0</v>
      </c>
      <c r="S141" s="61">
        <f t="shared" ref="S141:S143" si="182">(R141/60)</f>
        <v>0</v>
      </c>
      <c r="T141" s="13" t="s">
        <v>443</v>
      </c>
      <c r="U141" s="13" t="s">
        <v>444</v>
      </c>
      <c r="V141" s="61"/>
      <c r="W141" s="13" t="s">
        <v>445</v>
      </c>
      <c r="X141" s="13" t="s">
        <v>157</v>
      </c>
    </row>
    <row r="142" spans="1:24" ht="18" customHeight="1" x14ac:dyDescent="0.4">
      <c r="A142" s="185" t="s">
        <v>480</v>
      </c>
      <c r="B142" s="199">
        <f t="shared" si="176"/>
        <v>44.749999999999986</v>
      </c>
      <c r="C142" s="200"/>
      <c r="D142" s="201">
        <f t="shared" ref="D142" si="183">IF($D$5=0,B142/$H$5,B142/$J$14)</f>
        <v>272.25</v>
      </c>
      <c r="E142" s="200"/>
      <c r="F142" s="201">
        <f>IF($F$5=0,(B142/($H$6/1000)),B142/$M$416)</f>
        <v>6.2499999999999991</v>
      </c>
      <c r="G142" s="202">
        <f>B142/$B$313</f>
        <v>9.0188245336658757E-2</v>
      </c>
      <c r="H142" s="222">
        <f t="shared" si="178"/>
        <v>2.9833333333333325</v>
      </c>
      <c r="I142" s="204" t="str">
        <f t="shared" si="179"/>
        <v xml:space="preserve">hour </v>
      </c>
      <c r="J142" s="83">
        <v>1</v>
      </c>
      <c r="K142" s="193">
        <f t="shared" si="180"/>
        <v>15</v>
      </c>
      <c r="L142" s="213" t="str">
        <f t="shared" si="181"/>
        <v xml:space="preserve">/ hour </v>
      </c>
      <c r="M142" s="222">
        <f>X142</f>
        <v>18.149999999999999</v>
      </c>
      <c r="N142" s="83">
        <v>1</v>
      </c>
      <c r="O142" s="83">
        <v>1</v>
      </c>
      <c r="P142" s="83" t="s">
        <v>75</v>
      </c>
      <c r="Q142" s="83" t="s">
        <v>75</v>
      </c>
      <c r="R142" s="203">
        <f>(W142*60)*(43560*$AE$4)</f>
        <v>123.74999999999999</v>
      </c>
      <c r="S142" s="222">
        <f t="shared" ref="S142" si="184">(R142/60)</f>
        <v>2.0624999999999996</v>
      </c>
      <c r="T142" s="83">
        <v>5</v>
      </c>
      <c r="U142" s="83">
        <v>200</v>
      </c>
      <c r="V142" s="10" t="s">
        <v>393</v>
      </c>
      <c r="W142" s="244">
        <f>(T142/60)/U142</f>
        <v>4.1666666666666664E-4</v>
      </c>
      <c r="X142" s="60">
        <f t="shared" ref="X142" si="185">W142*43560</f>
        <v>18.149999999999999</v>
      </c>
    </row>
    <row r="143" spans="1:24" ht="18" customHeight="1" x14ac:dyDescent="0.4">
      <c r="A143" s="158" t="s">
        <v>293</v>
      </c>
      <c r="B143" s="19">
        <f t="shared" si="176"/>
        <v>0</v>
      </c>
      <c r="C143" s="9"/>
      <c r="D143" s="20">
        <f t="shared" si="177"/>
        <v>0</v>
      </c>
      <c r="E143" s="9"/>
      <c r="F143" s="81">
        <f>IF($F$5=0,(B143/($H$6/1000)),B143/$M$416)</f>
        <v>0</v>
      </c>
      <c r="G143" s="71">
        <f>B143/$B$313</f>
        <v>0</v>
      </c>
      <c r="H143" s="29">
        <f>M143*SUM($H$2:$H$4)*N143*J143</f>
        <v>0</v>
      </c>
      <c r="I143" s="29" t="str">
        <f t="shared" si="179"/>
        <v xml:space="preserve">hour </v>
      </c>
      <c r="J143" s="83">
        <v>0</v>
      </c>
      <c r="K143" s="30">
        <f t="shared" si="180"/>
        <v>15</v>
      </c>
      <c r="L143" s="10" t="str">
        <f t="shared" si="181"/>
        <v xml:space="preserve">/ hour </v>
      </c>
      <c r="M143" s="60">
        <f>S143/$AE$4</f>
        <v>4.4000000000000004</v>
      </c>
      <c r="N143" s="83">
        <v>1</v>
      </c>
      <c r="O143" s="83">
        <v>1</v>
      </c>
      <c r="P143" s="83" t="s">
        <v>75</v>
      </c>
      <c r="Q143" s="83" t="s">
        <v>75</v>
      </c>
      <c r="R143" s="83">
        <v>30</v>
      </c>
      <c r="S143" s="60">
        <f t="shared" si="182"/>
        <v>0.5</v>
      </c>
      <c r="T143" s="60"/>
      <c r="U143" s="60"/>
      <c r="V143" s="60"/>
      <c r="W143" s="11"/>
    </row>
    <row r="144" spans="1:24" ht="18" customHeight="1" x14ac:dyDescent="0.4">
      <c r="A144" s="27" t="s">
        <v>369</v>
      </c>
      <c r="B144" s="19">
        <f>((H144*K144)/O144)</f>
        <v>0</v>
      </c>
      <c r="C144" s="9"/>
      <c r="D144" s="20">
        <f t="shared" ref="D144" si="186">IF($D$5=0,B144/$H$5,B144/$J$14)</f>
        <v>0</v>
      </c>
      <c r="E144" s="9"/>
      <c r="F144" s="81">
        <f>IF($F$5=0,(B144/($H$6/1000)),B144/$M$416)</f>
        <v>0</v>
      </c>
      <c r="G144" s="71">
        <f>B144/$B$313</f>
        <v>0</v>
      </c>
      <c r="H144" s="29">
        <f>M144*$H$5*N144*J144</f>
        <v>0</v>
      </c>
      <c r="I144" s="29" t="str">
        <f t="shared" si="179"/>
        <v xml:space="preserve">hour </v>
      </c>
      <c r="J144" s="83">
        <v>0</v>
      </c>
      <c r="K144" s="30">
        <f t="shared" si="180"/>
        <v>15</v>
      </c>
      <c r="L144" s="10" t="str">
        <f>CONCATENATE("/ ",I144)</f>
        <v xml:space="preserve">/ hour </v>
      </c>
      <c r="M144" s="83">
        <v>0</v>
      </c>
      <c r="N144" s="83">
        <v>0</v>
      </c>
      <c r="O144" s="83">
        <v>1</v>
      </c>
      <c r="P144" s="83" t="s">
        <v>75</v>
      </c>
      <c r="Q144" s="83" t="s">
        <v>75</v>
      </c>
      <c r="R144" s="83">
        <v>0</v>
      </c>
      <c r="S144" s="61">
        <f>(R144/60)</f>
        <v>0</v>
      </c>
      <c r="T144" s="61"/>
      <c r="U144" s="61"/>
      <c r="V144" s="61"/>
      <c r="W144" s="322"/>
    </row>
    <row r="145" spans="1:25" ht="18" customHeight="1" x14ac:dyDescent="0.4">
      <c r="A145" s="2" t="s">
        <v>87</v>
      </c>
      <c r="B145" s="19">
        <f>((H145*K145)/O145)</f>
        <v>0</v>
      </c>
      <c r="C145" s="9"/>
      <c r="D145" s="20">
        <f>IF($D$5=0,B145/$H$5,B145/$J$14)</f>
        <v>0</v>
      </c>
      <c r="E145" s="9"/>
      <c r="F145" s="81">
        <f>IF($F$5=0,(B145/($H$6/1000)),B145/$M$416)</f>
        <v>0</v>
      </c>
      <c r="G145" s="71">
        <f>B145/$B$313</f>
        <v>0</v>
      </c>
      <c r="H145" s="29">
        <f>M145*$H$5*N145*J145</f>
        <v>0</v>
      </c>
      <c r="I145" s="29" t="str">
        <f t="shared" si="179"/>
        <v xml:space="preserve">hour </v>
      </c>
      <c r="J145" s="83">
        <v>0</v>
      </c>
      <c r="K145" s="30">
        <f t="shared" si="180"/>
        <v>15</v>
      </c>
      <c r="L145" s="10" t="str">
        <f>CONCATENATE("/ ",I145)</f>
        <v xml:space="preserve">/ hour </v>
      </c>
      <c r="M145" s="83">
        <v>0</v>
      </c>
      <c r="N145" s="83">
        <v>0</v>
      </c>
      <c r="O145" s="83">
        <v>1</v>
      </c>
      <c r="P145" s="83" t="s">
        <v>75</v>
      </c>
      <c r="Q145" s="83" t="s">
        <v>75</v>
      </c>
      <c r="R145" s="83">
        <v>0</v>
      </c>
      <c r="S145" s="61">
        <f>(R145/60)</f>
        <v>0</v>
      </c>
      <c r="T145" s="61"/>
      <c r="U145" s="61"/>
      <c r="V145" s="61"/>
      <c r="W145" s="322"/>
    </row>
    <row r="146" spans="1:25" ht="18" customHeight="1" x14ac:dyDescent="0.4">
      <c r="A146" s="24" t="s">
        <v>734</v>
      </c>
      <c r="B146" s="28"/>
      <c r="C146" s="9"/>
      <c r="D146" s="17"/>
      <c r="E146" s="9"/>
      <c r="F146" s="17"/>
      <c r="G146" s="70"/>
      <c r="H146" s="13" t="s">
        <v>232</v>
      </c>
      <c r="I146" s="13" t="s">
        <v>143</v>
      </c>
      <c r="J146" s="13" t="s">
        <v>82</v>
      </c>
      <c r="K146" s="13" t="s">
        <v>172</v>
      </c>
      <c r="L146" s="18" t="s">
        <v>147</v>
      </c>
      <c r="M146" s="13" t="s">
        <v>157</v>
      </c>
      <c r="N146" s="13" t="s">
        <v>83</v>
      </c>
      <c r="O146" s="13" t="s">
        <v>79</v>
      </c>
      <c r="P146" s="13" t="s">
        <v>73</v>
      </c>
      <c r="Q146" s="13" t="s">
        <v>74</v>
      </c>
      <c r="R146" s="13" t="s">
        <v>249</v>
      </c>
      <c r="S146" s="13" t="s">
        <v>342</v>
      </c>
      <c r="T146" s="13" t="s">
        <v>443</v>
      </c>
      <c r="U146" s="13" t="s">
        <v>444</v>
      </c>
      <c r="V146" s="61"/>
      <c r="W146" s="13" t="s">
        <v>445</v>
      </c>
      <c r="X146" s="13" t="s">
        <v>157</v>
      </c>
    </row>
    <row r="147" spans="1:25" ht="18" customHeight="1" x14ac:dyDescent="0.4">
      <c r="A147" s="185" t="s">
        <v>512</v>
      </c>
      <c r="B147" s="205">
        <f>((H147*K147)/O147)</f>
        <v>0</v>
      </c>
      <c r="C147" s="200"/>
      <c r="D147" s="201">
        <f>IF($D$5=0,B147/$H$5,B147/$J$14)</f>
        <v>0</v>
      </c>
      <c r="E147" s="200"/>
      <c r="F147" s="201">
        <f>IF($F$5=0,(B147/($H$6/1000)),B147/$M$416)</f>
        <v>0</v>
      </c>
      <c r="G147" s="219">
        <f>B147/$B$313</f>
        <v>0</v>
      </c>
      <c r="H147" s="222">
        <f>(M147*($H$1*$AD$9)*N147*J147)-(M147*($Y$9*$AD$9)*N147*J147)</f>
        <v>0</v>
      </c>
      <c r="I147" s="204" t="str">
        <f t="shared" si="179"/>
        <v xml:space="preserve">hour </v>
      </c>
      <c r="J147" s="311">
        <v>1</v>
      </c>
      <c r="K147" s="193">
        <f t="shared" si="180"/>
        <v>15</v>
      </c>
      <c r="L147" s="213" t="str">
        <f>CONCATENATE("/ ",I147)</f>
        <v xml:space="preserve">/ hour </v>
      </c>
      <c r="M147" s="222">
        <f>S147/$AE$4</f>
        <v>22.468085106382979</v>
      </c>
      <c r="N147" s="83">
        <v>1</v>
      </c>
      <c r="O147" s="204">
        <f>$K$5</f>
        <v>10</v>
      </c>
      <c r="P147" s="83" t="s">
        <v>75</v>
      </c>
      <c r="Q147" s="83" t="s">
        <v>75</v>
      </c>
      <c r="R147" s="222">
        <f>(W147*60)*(43560*$AE$4)</f>
        <v>153.19148936170214</v>
      </c>
      <c r="S147" s="222">
        <f>(R147/60)</f>
        <v>2.5531914893617023</v>
      </c>
      <c r="T147" s="4">
        <f>6*60</f>
        <v>360</v>
      </c>
      <c r="U147" s="4">
        <f>46530*0.25</f>
        <v>11632.5</v>
      </c>
      <c r="V147" s="10" t="s">
        <v>393</v>
      </c>
      <c r="W147" s="244">
        <f>(T147/60)/U147</f>
        <v>5.1579626047711157E-4</v>
      </c>
      <c r="X147" s="60">
        <f>W147*43560</f>
        <v>22.468085106382979</v>
      </c>
    </row>
    <row r="148" spans="1:25" ht="18" customHeight="1" x14ac:dyDescent="0.4">
      <c r="A148" s="185" t="s">
        <v>513</v>
      </c>
      <c r="B148" s="205">
        <f>((H148*K148)/O148)</f>
        <v>0</v>
      </c>
      <c r="C148" s="200"/>
      <c r="D148" s="201">
        <f>IF($D$5=0,B148/$H$5,B148/$J$14)</f>
        <v>0</v>
      </c>
      <c r="E148" s="200"/>
      <c r="F148" s="201">
        <f>IF($F$5=0,(B148/($H$6/1000)),B148/$M$416)</f>
        <v>0</v>
      </c>
      <c r="G148" s="219">
        <f>B148/$B$313</f>
        <v>0</v>
      </c>
      <c r="H148" s="222">
        <f>(M148*($H$1*$AD$10)*N148*J148)-(M148*($Y$9*$AD$10)*N148*J148)</f>
        <v>0</v>
      </c>
      <c r="I148" s="204" t="str">
        <f t="shared" si="179"/>
        <v xml:space="preserve">hour </v>
      </c>
      <c r="J148" s="311">
        <v>1</v>
      </c>
      <c r="K148" s="193">
        <f t="shared" si="180"/>
        <v>15</v>
      </c>
      <c r="L148" s="213" t="str">
        <f>CONCATENATE("/ ",I148)</f>
        <v xml:space="preserve">/ hour </v>
      </c>
      <c r="M148" s="222">
        <f>S148/$AE$4</f>
        <v>11.23404255319149</v>
      </c>
      <c r="N148" s="83">
        <v>1</v>
      </c>
      <c r="O148" s="204">
        <f t="shared" ref="O148:O150" si="187">$K$5</f>
        <v>10</v>
      </c>
      <c r="P148" s="83" t="s">
        <v>75</v>
      </c>
      <c r="Q148" s="83" t="s">
        <v>75</v>
      </c>
      <c r="R148" s="222">
        <f>(W148*60)*(43560*$AE$4)</f>
        <v>76.59574468085107</v>
      </c>
      <c r="S148" s="222">
        <f>(R148/60)</f>
        <v>1.2765957446808511</v>
      </c>
      <c r="T148" s="4">
        <f>3*60</f>
        <v>180</v>
      </c>
      <c r="U148" s="4">
        <f>46530*0.25</f>
        <v>11632.5</v>
      </c>
      <c r="V148" s="10" t="s">
        <v>393</v>
      </c>
      <c r="W148" s="244">
        <f>(T148/60)/U148</f>
        <v>2.5789813023855578E-4</v>
      </c>
      <c r="X148" s="60">
        <f>W148*43560</f>
        <v>11.23404255319149</v>
      </c>
    </row>
    <row r="149" spans="1:25" ht="18" customHeight="1" x14ac:dyDescent="0.4">
      <c r="A149" s="185" t="s">
        <v>514</v>
      </c>
      <c r="B149" s="205">
        <f>((H149*K149)/O149)</f>
        <v>0</v>
      </c>
      <c r="C149" s="200"/>
      <c r="D149" s="201">
        <f>IF($D$5=0,B149/$H$5,B149/$J$14)</f>
        <v>0</v>
      </c>
      <c r="E149" s="200"/>
      <c r="F149" s="201">
        <f>IF($F$5=0,(B149/($H$6/1000)),B149/$M$416)</f>
        <v>0</v>
      </c>
      <c r="G149" s="219">
        <f>B149/$B$313</f>
        <v>0</v>
      </c>
      <c r="H149" s="222">
        <f>(M149*($H$1*$AD$11)*N149*J149)-(M149*($Y$9*$AD$11)*N149*J149)</f>
        <v>0</v>
      </c>
      <c r="I149" s="204" t="str">
        <f t="shared" si="179"/>
        <v xml:space="preserve">hour </v>
      </c>
      <c r="J149" s="311">
        <v>1</v>
      </c>
      <c r="K149" s="193">
        <f t="shared" si="180"/>
        <v>15</v>
      </c>
      <c r="L149" s="213" t="str">
        <f>CONCATENATE("/ ",I149)</f>
        <v xml:space="preserve">/ hour </v>
      </c>
      <c r="M149" s="222">
        <f>S149/$AE$4</f>
        <v>4.3988541666666672</v>
      </c>
      <c r="N149" s="83">
        <v>1</v>
      </c>
      <c r="O149" s="204">
        <f t="shared" si="187"/>
        <v>10</v>
      </c>
      <c r="P149" s="83" t="s">
        <v>75</v>
      </c>
      <c r="Q149" s="83" t="s">
        <v>75</v>
      </c>
      <c r="R149" s="222">
        <f>(W149*60)*(43560*$AE$4)</f>
        <v>29.9921875</v>
      </c>
      <c r="S149" s="222">
        <f>(R149/60)</f>
        <v>0.49986979166666667</v>
      </c>
      <c r="T149" s="83">
        <v>17.45</v>
      </c>
      <c r="U149" s="4">
        <f>48*6*10</f>
        <v>2880</v>
      </c>
      <c r="V149" s="10" t="s">
        <v>393</v>
      </c>
      <c r="W149" s="244">
        <f>(T149/60)/U149</f>
        <v>1.009837962962963E-4</v>
      </c>
      <c r="X149" s="60">
        <f>W149*43560</f>
        <v>4.3988541666666663</v>
      </c>
    </row>
    <row r="150" spans="1:25" ht="18" customHeight="1" x14ac:dyDescent="0.4">
      <c r="A150" s="185" t="s">
        <v>518</v>
      </c>
      <c r="B150" s="205">
        <f>((H150*K150)/O150)</f>
        <v>2.2083333333333326</v>
      </c>
      <c r="C150" s="200"/>
      <c r="D150" s="201">
        <f>IF($D$5=0,B150/$H$5,B150/$J$14)</f>
        <v>13.435055865921786</v>
      </c>
      <c r="E150" s="200"/>
      <c r="F150" s="201">
        <f>IF($F$5=0,(B150/($H$6/1000)),B150/$M$416)</f>
        <v>0.30842644320297946</v>
      </c>
      <c r="G150" s="219">
        <f>B150/$B$313</f>
        <v>4.4506303564645381E-3</v>
      </c>
      <c r="H150" s="222">
        <f>(M150*($H$1*$AD$12)*N150*J150)-(M150*($Y$9*$AD$12)*N150*J150)</f>
        <v>1.4722222222222217</v>
      </c>
      <c r="I150" s="204" t="str">
        <f t="shared" si="179"/>
        <v xml:space="preserve">hour </v>
      </c>
      <c r="J150" s="311">
        <v>1</v>
      </c>
      <c r="K150" s="193">
        <f t="shared" si="180"/>
        <v>15</v>
      </c>
      <c r="L150" s="213" t="str">
        <f>CONCATENATE("/ ",I150)</f>
        <v xml:space="preserve">/ hour </v>
      </c>
      <c r="M150" s="222">
        <f>X150</f>
        <v>10.083333333333332</v>
      </c>
      <c r="N150" s="83">
        <v>1</v>
      </c>
      <c r="O150" s="204">
        <f t="shared" si="187"/>
        <v>10</v>
      </c>
      <c r="P150" s="83" t="s">
        <v>75</v>
      </c>
      <c r="Q150" s="83" t="s">
        <v>75</v>
      </c>
      <c r="R150" s="204">
        <f>(W150*60)*(43560*$AE$4)</f>
        <v>68.75</v>
      </c>
      <c r="S150" s="222">
        <f>(R150/60)</f>
        <v>1.1458333333333333</v>
      </c>
      <c r="T150" s="83">
        <f>20*2</f>
        <v>40</v>
      </c>
      <c r="U150" s="4">
        <f>48*6*10</f>
        <v>2880</v>
      </c>
      <c r="V150" s="10" t="s">
        <v>393</v>
      </c>
      <c r="W150" s="244">
        <f>(T150/60)/U150</f>
        <v>2.3148148148148146E-4</v>
      </c>
      <c r="X150" s="60">
        <f>W150*43560</f>
        <v>10.083333333333332</v>
      </c>
    </row>
    <row r="151" spans="1:25" ht="18" customHeight="1" x14ac:dyDescent="0.4">
      <c r="A151" s="24" t="s">
        <v>735</v>
      </c>
      <c r="B151" s="28"/>
      <c r="C151" s="9"/>
      <c r="D151" s="17"/>
      <c r="E151" s="9"/>
      <c r="F151" s="17"/>
      <c r="G151" s="70"/>
      <c r="H151" s="13" t="s">
        <v>232</v>
      </c>
      <c r="I151" s="13" t="s">
        <v>143</v>
      </c>
      <c r="J151" s="13" t="s">
        <v>82</v>
      </c>
      <c r="K151" s="13" t="s">
        <v>172</v>
      </c>
      <c r="L151" s="18" t="s">
        <v>147</v>
      </c>
      <c r="M151" s="13" t="s">
        <v>157</v>
      </c>
      <c r="N151" s="13" t="s">
        <v>83</v>
      </c>
      <c r="O151" s="13" t="s">
        <v>79</v>
      </c>
      <c r="P151" s="13" t="s">
        <v>73</v>
      </c>
      <c r="Q151" s="13" t="s">
        <v>74</v>
      </c>
      <c r="R151" s="13" t="s">
        <v>249</v>
      </c>
      <c r="S151" s="13" t="s">
        <v>342</v>
      </c>
      <c r="T151" s="13" t="s">
        <v>443</v>
      </c>
      <c r="U151" s="13" t="s">
        <v>444</v>
      </c>
      <c r="V151" s="61"/>
      <c r="W151" s="13" t="s">
        <v>445</v>
      </c>
      <c r="X151" s="13" t="s">
        <v>157</v>
      </c>
    </row>
    <row r="152" spans="1:25" ht="18" customHeight="1" x14ac:dyDescent="0.4">
      <c r="A152" s="185" t="s">
        <v>512</v>
      </c>
      <c r="B152" s="205">
        <f t="shared" ref="B152:B159" si="188">((H152*K152)/O152)</f>
        <v>0</v>
      </c>
      <c r="C152" s="200"/>
      <c r="D152" s="201">
        <f t="shared" ref="D152:D159" si="189">IF($D$5=0,B152/$H$5,B152/$J$14)</f>
        <v>0</v>
      </c>
      <c r="E152" s="200"/>
      <c r="F152" s="201">
        <f t="shared" ref="F152:F159" si="190">IF($F$5=0,(B152/($H$6/1000)),B152/$M$416)</f>
        <v>0</v>
      </c>
      <c r="G152" s="219">
        <f t="shared" ref="G152:G159" si="191">B152/$B$313</f>
        <v>0</v>
      </c>
      <c r="H152" s="222">
        <f>M152*($H$1*$AD$9)*N152*J152</f>
        <v>0</v>
      </c>
      <c r="I152" s="204" t="str">
        <f t="shared" si="179"/>
        <v xml:space="preserve">hour </v>
      </c>
      <c r="J152" s="83">
        <v>0</v>
      </c>
      <c r="K152" s="193">
        <f t="shared" si="180"/>
        <v>15</v>
      </c>
      <c r="L152" s="213" t="str">
        <f t="shared" ref="L152:L159" si="192">CONCATENATE("/ ",I152)</f>
        <v xml:space="preserve">/ hour </v>
      </c>
      <c r="M152" s="222">
        <f>S152/$AE$4</f>
        <v>22.468085106382979</v>
      </c>
      <c r="N152" s="83">
        <v>1</v>
      </c>
      <c r="O152" s="204">
        <f t="shared" ref="O152:O159" si="193">$K$5</f>
        <v>10</v>
      </c>
      <c r="P152" s="83" t="s">
        <v>75</v>
      </c>
      <c r="Q152" s="83" t="s">
        <v>75</v>
      </c>
      <c r="R152" s="222">
        <f t="shared" ref="R152:R159" si="194">(W152*60)*(43560*$AE$4)</f>
        <v>153.19148936170214</v>
      </c>
      <c r="S152" s="222">
        <f t="shared" ref="S152:S159" si="195">(R152/60)</f>
        <v>2.5531914893617023</v>
      </c>
      <c r="T152" s="4">
        <f>6*60</f>
        <v>360</v>
      </c>
      <c r="U152" s="4">
        <f>46530*0.25</f>
        <v>11632.5</v>
      </c>
      <c r="V152" s="10" t="s">
        <v>393</v>
      </c>
      <c r="W152" s="244">
        <f t="shared" ref="W152:W159" si="196">(T152/60)/U152</f>
        <v>5.1579626047711157E-4</v>
      </c>
      <c r="X152" s="60">
        <f t="shared" ref="X152:X159" si="197">W152*43560</f>
        <v>22.468085106382979</v>
      </c>
    </row>
    <row r="153" spans="1:25" ht="18" customHeight="1" x14ac:dyDescent="0.4">
      <c r="A153" s="185" t="s">
        <v>513</v>
      </c>
      <c r="B153" s="205">
        <f t="shared" si="188"/>
        <v>0</v>
      </c>
      <c r="C153" s="200"/>
      <c r="D153" s="201">
        <f t="shared" si="189"/>
        <v>0</v>
      </c>
      <c r="E153" s="200"/>
      <c r="F153" s="201">
        <f t="shared" si="190"/>
        <v>0</v>
      </c>
      <c r="G153" s="219">
        <f t="shared" si="191"/>
        <v>0</v>
      </c>
      <c r="H153" s="222">
        <f>M153*($H$1*$AD$10)*N153*J153</f>
        <v>0</v>
      </c>
      <c r="I153" s="204" t="str">
        <f t="shared" si="179"/>
        <v xml:space="preserve">hour </v>
      </c>
      <c r="J153" s="83">
        <v>0</v>
      </c>
      <c r="K153" s="193">
        <f t="shared" si="180"/>
        <v>15</v>
      </c>
      <c r="L153" s="213" t="str">
        <f t="shared" si="192"/>
        <v xml:space="preserve">/ hour </v>
      </c>
      <c r="M153" s="222">
        <f>S153/$AE$4</f>
        <v>11.23404255319149</v>
      </c>
      <c r="N153" s="83">
        <v>1</v>
      </c>
      <c r="O153" s="204">
        <f t="shared" si="193"/>
        <v>10</v>
      </c>
      <c r="P153" s="83" t="s">
        <v>75</v>
      </c>
      <c r="Q153" s="83" t="s">
        <v>75</v>
      </c>
      <c r="R153" s="222">
        <f t="shared" si="194"/>
        <v>76.59574468085107</v>
      </c>
      <c r="S153" s="222">
        <f t="shared" si="195"/>
        <v>1.2765957446808511</v>
      </c>
      <c r="T153" s="4">
        <f>3*60</f>
        <v>180</v>
      </c>
      <c r="U153" s="4">
        <f>46530*0.25</f>
        <v>11632.5</v>
      </c>
      <c r="V153" s="10" t="s">
        <v>393</v>
      </c>
      <c r="W153" s="244">
        <f t="shared" si="196"/>
        <v>2.5789813023855578E-4</v>
      </c>
      <c r="X153" s="60">
        <f t="shared" si="197"/>
        <v>11.23404255319149</v>
      </c>
    </row>
    <row r="154" spans="1:25" ht="18" customHeight="1" x14ac:dyDescent="0.4">
      <c r="A154" s="185" t="s">
        <v>514</v>
      </c>
      <c r="B154" s="205">
        <f t="shared" si="188"/>
        <v>0</v>
      </c>
      <c r="C154" s="200"/>
      <c r="D154" s="201">
        <f t="shared" si="189"/>
        <v>0</v>
      </c>
      <c r="E154" s="200"/>
      <c r="F154" s="201">
        <f t="shared" si="190"/>
        <v>0</v>
      </c>
      <c r="G154" s="219">
        <f t="shared" si="191"/>
        <v>0</v>
      </c>
      <c r="H154" s="222">
        <f>M154*($H$1*$AD$11)*N154*J154</f>
        <v>0</v>
      </c>
      <c r="I154" s="204" t="str">
        <f t="shared" si="179"/>
        <v xml:space="preserve">hour </v>
      </c>
      <c r="J154" s="83">
        <v>0</v>
      </c>
      <c r="K154" s="193">
        <f t="shared" si="180"/>
        <v>15</v>
      </c>
      <c r="L154" s="213" t="str">
        <f t="shared" si="192"/>
        <v xml:space="preserve">/ hour </v>
      </c>
      <c r="M154" s="222">
        <f>S154/$AE$4</f>
        <v>4.3988541666666672</v>
      </c>
      <c r="N154" s="83">
        <v>1</v>
      </c>
      <c r="O154" s="204">
        <f t="shared" si="193"/>
        <v>10</v>
      </c>
      <c r="P154" s="83" t="s">
        <v>75</v>
      </c>
      <c r="Q154" s="83" t="s">
        <v>75</v>
      </c>
      <c r="R154" s="222">
        <f t="shared" si="194"/>
        <v>29.9921875</v>
      </c>
      <c r="S154" s="222">
        <f t="shared" si="195"/>
        <v>0.49986979166666667</v>
      </c>
      <c r="T154" s="83">
        <v>17.45</v>
      </c>
      <c r="U154" s="4">
        <f>48*6*10</f>
        <v>2880</v>
      </c>
      <c r="V154" s="10" t="s">
        <v>393</v>
      </c>
      <c r="W154" s="244">
        <f t="shared" si="196"/>
        <v>1.009837962962963E-4</v>
      </c>
      <c r="X154" s="60">
        <f t="shared" si="197"/>
        <v>4.3988541666666663</v>
      </c>
    </row>
    <row r="155" spans="1:25" ht="18" customHeight="1" x14ac:dyDescent="0.4">
      <c r="A155" s="185" t="s">
        <v>518</v>
      </c>
      <c r="B155" s="205">
        <f t="shared" si="188"/>
        <v>0</v>
      </c>
      <c r="C155" s="200"/>
      <c r="D155" s="201">
        <f t="shared" si="189"/>
        <v>0</v>
      </c>
      <c r="E155" s="200"/>
      <c r="F155" s="201">
        <f t="shared" si="190"/>
        <v>0</v>
      </c>
      <c r="G155" s="219">
        <f t="shared" si="191"/>
        <v>0</v>
      </c>
      <c r="H155" s="222">
        <f>M155*($H$1*$AD$12)*N155*J155</f>
        <v>0</v>
      </c>
      <c r="I155" s="204" t="str">
        <f t="shared" si="179"/>
        <v xml:space="preserve">hour </v>
      </c>
      <c r="J155" s="83">
        <v>0</v>
      </c>
      <c r="K155" s="193">
        <f t="shared" si="180"/>
        <v>15</v>
      </c>
      <c r="L155" s="213" t="str">
        <f t="shared" si="192"/>
        <v xml:space="preserve">/ hour </v>
      </c>
      <c r="M155" s="222">
        <f>X155</f>
        <v>10.083333333333332</v>
      </c>
      <c r="N155" s="83">
        <v>1</v>
      </c>
      <c r="O155" s="204">
        <f t="shared" si="193"/>
        <v>10</v>
      </c>
      <c r="P155" s="83" t="s">
        <v>75</v>
      </c>
      <c r="Q155" s="83" t="s">
        <v>75</v>
      </c>
      <c r="R155" s="204">
        <f t="shared" si="194"/>
        <v>68.75</v>
      </c>
      <c r="S155" s="222">
        <f t="shared" si="195"/>
        <v>1.1458333333333333</v>
      </c>
      <c r="T155" s="83">
        <f>20*2</f>
        <v>40</v>
      </c>
      <c r="U155" s="4">
        <f>48*6*10</f>
        <v>2880</v>
      </c>
      <c r="V155" s="10" t="s">
        <v>393</v>
      </c>
      <c r="W155" s="244">
        <f t="shared" si="196"/>
        <v>2.3148148148148146E-4</v>
      </c>
      <c r="X155" s="60">
        <f t="shared" si="197"/>
        <v>10.083333333333332</v>
      </c>
    </row>
    <row r="156" spans="1:25" ht="18" customHeight="1" x14ac:dyDescent="0.4">
      <c r="A156" s="185" t="s">
        <v>529</v>
      </c>
      <c r="B156" s="205">
        <f t="shared" si="188"/>
        <v>0</v>
      </c>
      <c r="C156" s="200"/>
      <c r="D156" s="201">
        <f t="shared" si="189"/>
        <v>0</v>
      </c>
      <c r="E156" s="200"/>
      <c r="F156" s="201">
        <f t="shared" si="190"/>
        <v>0</v>
      </c>
      <c r="G156" s="219">
        <f t="shared" si="191"/>
        <v>0</v>
      </c>
      <c r="H156" s="222">
        <f>M156*($T$15*$AD$9)*N156*J156</f>
        <v>0</v>
      </c>
      <c r="I156" s="204" t="str">
        <f t="shared" si="179"/>
        <v xml:space="preserve">hour </v>
      </c>
      <c r="J156" s="204">
        <f>IF($S$15&gt;0,1,0)</f>
        <v>1</v>
      </c>
      <c r="K156" s="193">
        <f t="shared" si="180"/>
        <v>15</v>
      </c>
      <c r="L156" s="213" t="str">
        <f t="shared" si="192"/>
        <v xml:space="preserve">/ hour </v>
      </c>
      <c r="M156" s="222">
        <f>S156/$AE$4</f>
        <v>22.468085106382979</v>
      </c>
      <c r="N156" s="83">
        <v>1</v>
      </c>
      <c r="O156" s="204">
        <f t="shared" si="193"/>
        <v>10</v>
      </c>
      <c r="P156" s="83" t="s">
        <v>75</v>
      </c>
      <c r="Q156" s="83" t="s">
        <v>75</v>
      </c>
      <c r="R156" s="222">
        <f t="shared" si="194"/>
        <v>153.19148936170214</v>
      </c>
      <c r="S156" s="222">
        <f t="shared" si="195"/>
        <v>2.5531914893617023</v>
      </c>
      <c r="T156" s="4">
        <f>6*60</f>
        <v>360</v>
      </c>
      <c r="U156" s="4">
        <f>46530*0.25</f>
        <v>11632.5</v>
      </c>
      <c r="V156" s="10" t="s">
        <v>393</v>
      </c>
      <c r="W156" s="244">
        <f t="shared" si="196"/>
        <v>5.1579626047711157E-4</v>
      </c>
      <c r="X156" s="60">
        <f t="shared" si="197"/>
        <v>22.468085106382979</v>
      </c>
    </row>
    <row r="157" spans="1:25" ht="18" customHeight="1" x14ac:dyDescent="0.4">
      <c r="A157" s="185" t="s">
        <v>528</v>
      </c>
      <c r="B157" s="205">
        <f t="shared" si="188"/>
        <v>0</v>
      </c>
      <c r="C157" s="200"/>
      <c r="D157" s="201">
        <f t="shared" si="189"/>
        <v>0</v>
      </c>
      <c r="E157" s="200"/>
      <c r="F157" s="201">
        <f t="shared" si="190"/>
        <v>0</v>
      </c>
      <c r="G157" s="219">
        <f t="shared" si="191"/>
        <v>0</v>
      </c>
      <c r="H157" s="222">
        <f>M157*($T$15*$AD$10)*N157*J157</f>
        <v>0</v>
      </c>
      <c r="I157" s="204" t="str">
        <f t="shared" si="179"/>
        <v xml:space="preserve">hour </v>
      </c>
      <c r="J157" s="204">
        <f>IF($S$15&gt;0,1,0)</f>
        <v>1</v>
      </c>
      <c r="K157" s="193">
        <f t="shared" si="180"/>
        <v>15</v>
      </c>
      <c r="L157" s="213" t="str">
        <f t="shared" si="192"/>
        <v xml:space="preserve">/ hour </v>
      </c>
      <c r="M157" s="222">
        <f>S157/$AE$4</f>
        <v>11.23404255319149</v>
      </c>
      <c r="N157" s="83">
        <v>1</v>
      </c>
      <c r="O157" s="204">
        <f t="shared" si="193"/>
        <v>10</v>
      </c>
      <c r="P157" s="83" t="s">
        <v>75</v>
      </c>
      <c r="Q157" s="83" t="s">
        <v>75</v>
      </c>
      <c r="R157" s="222">
        <f t="shared" si="194"/>
        <v>76.59574468085107</v>
      </c>
      <c r="S157" s="222">
        <f t="shared" si="195"/>
        <v>1.2765957446808511</v>
      </c>
      <c r="T157" s="4">
        <f>3*60</f>
        <v>180</v>
      </c>
      <c r="U157" s="4">
        <f>46530*0.25</f>
        <v>11632.5</v>
      </c>
      <c r="V157" s="10" t="s">
        <v>393</v>
      </c>
      <c r="W157" s="244">
        <f t="shared" si="196"/>
        <v>2.5789813023855578E-4</v>
      </c>
      <c r="X157" s="60">
        <f t="shared" si="197"/>
        <v>11.23404255319149</v>
      </c>
    </row>
    <row r="158" spans="1:25" ht="18" customHeight="1" x14ac:dyDescent="0.4">
      <c r="A158" s="185" t="s">
        <v>530</v>
      </c>
      <c r="B158" s="205">
        <f t="shared" si="188"/>
        <v>0</v>
      </c>
      <c r="C158" s="200"/>
      <c r="D158" s="201">
        <f t="shared" si="189"/>
        <v>0</v>
      </c>
      <c r="E158" s="200"/>
      <c r="F158" s="201">
        <f t="shared" si="190"/>
        <v>0</v>
      </c>
      <c r="G158" s="219">
        <f t="shared" si="191"/>
        <v>0</v>
      </c>
      <c r="H158" s="222">
        <f>M158*($T$15*$AD$11)*N158*J158</f>
        <v>0</v>
      </c>
      <c r="I158" s="204" t="str">
        <f t="shared" si="179"/>
        <v xml:space="preserve">hour </v>
      </c>
      <c r="J158" s="204">
        <f>IF($S$15&gt;0,1,0)</f>
        <v>1</v>
      </c>
      <c r="K158" s="193">
        <f t="shared" si="180"/>
        <v>15</v>
      </c>
      <c r="L158" s="213" t="str">
        <f t="shared" si="192"/>
        <v xml:space="preserve">/ hour </v>
      </c>
      <c r="M158" s="222">
        <f>S158/$AE$4</f>
        <v>4.3988541666666672</v>
      </c>
      <c r="N158" s="83">
        <v>1</v>
      </c>
      <c r="O158" s="204">
        <f t="shared" si="193"/>
        <v>10</v>
      </c>
      <c r="P158" s="83" t="s">
        <v>75</v>
      </c>
      <c r="Q158" s="83" t="s">
        <v>75</v>
      </c>
      <c r="R158" s="222">
        <f t="shared" si="194"/>
        <v>29.9921875</v>
      </c>
      <c r="S158" s="222">
        <f t="shared" si="195"/>
        <v>0.49986979166666667</v>
      </c>
      <c r="T158" s="83">
        <v>17.45</v>
      </c>
      <c r="U158" s="4">
        <f>48*6*10</f>
        <v>2880</v>
      </c>
      <c r="V158" s="10" t="s">
        <v>393</v>
      </c>
      <c r="W158" s="244">
        <f t="shared" si="196"/>
        <v>1.009837962962963E-4</v>
      </c>
      <c r="X158" s="60">
        <f t="shared" si="197"/>
        <v>4.3988541666666663</v>
      </c>
    </row>
    <row r="159" spans="1:25" ht="18" customHeight="1" x14ac:dyDescent="0.4">
      <c r="A159" s="185" t="s">
        <v>531</v>
      </c>
      <c r="B159" s="205">
        <f t="shared" si="188"/>
        <v>0.89583333333333304</v>
      </c>
      <c r="C159" s="200"/>
      <c r="D159" s="201">
        <f t="shared" si="189"/>
        <v>5.4500698324022343</v>
      </c>
      <c r="E159" s="200"/>
      <c r="F159" s="201">
        <f t="shared" si="190"/>
        <v>0.12511638733705771</v>
      </c>
      <c r="G159" s="219">
        <f t="shared" si="191"/>
        <v>1.805444389886558E-3</v>
      </c>
      <c r="H159" s="222">
        <f>M159*($T$15*$AD$12)*N159*J159</f>
        <v>0.59722222222222199</v>
      </c>
      <c r="I159" s="204" t="str">
        <f t="shared" si="179"/>
        <v xml:space="preserve">hour </v>
      </c>
      <c r="J159" s="204">
        <f>IF($S$15&gt;0,1,0)</f>
        <v>1</v>
      </c>
      <c r="K159" s="193">
        <f t="shared" si="180"/>
        <v>15</v>
      </c>
      <c r="L159" s="213" t="str">
        <f t="shared" si="192"/>
        <v xml:space="preserve">/ hour </v>
      </c>
      <c r="M159" s="222">
        <f>X159</f>
        <v>10.083333333333332</v>
      </c>
      <c r="N159" s="83">
        <v>1</v>
      </c>
      <c r="O159" s="204">
        <f t="shared" si="193"/>
        <v>10</v>
      </c>
      <c r="P159" s="83" t="s">
        <v>75</v>
      </c>
      <c r="Q159" s="83" t="s">
        <v>75</v>
      </c>
      <c r="R159" s="204">
        <f t="shared" si="194"/>
        <v>68.75</v>
      </c>
      <c r="S159" s="222">
        <f t="shared" si="195"/>
        <v>1.1458333333333333</v>
      </c>
      <c r="T159" s="83">
        <f>20*2</f>
        <v>40</v>
      </c>
      <c r="U159" s="4">
        <f>48*6*10</f>
        <v>2880</v>
      </c>
      <c r="V159" s="10" t="s">
        <v>393</v>
      </c>
      <c r="W159" s="244">
        <f t="shared" si="196"/>
        <v>2.3148148148148146E-4</v>
      </c>
      <c r="X159" s="60">
        <f t="shared" si="197"/>
        <v>10.083333333333332</v>
      </c>
    </row>
    <row r="160" spans="1:25" ht="18" customHeight="1" x14ac:dyDescent="0.4">
      <c r="A160" s="24" t="s">
        <v>736</v>
      </c>
      <c r="B160" s="28"/>
      <c r="C160" s="9"/>
      <c r="D160" s="17"/>
      <c r="E160" s="9"/>
      <c r="F160" s="17"/>
      <c r="G160" s="70"/>
      <c r="H160" s="13" t="s">
        <v>232</v>
      </c>
      <c r="I160" s="13" t="s">
        <v>143</v>
      </c>
      <c r="J160" s="13" t="s">
        <v>82</v>
      </c>
      <c r="K160" s="13" t="s">
        <v>172</v>
      </c>
      <c r="L160" s="18" t="s">
        <v>147</v>
      </c>
      <c r="M160" s="13" t="s">
        <v>157</v>
      </c>
      <c r="N160" s="13" t="s">
        <v>83</v>
      </c>
      <c r="O160" s="13" t="s">
        <v>79</v>
      </c>
      <c r="P160" s="13" t="s">
        <v>73</v>
      </c>
      <c r="Q160" s="13" t="s">
        <v>74</v>
      </c>
      <c r="R160" s="13" t="s">
        <v>249</v>
      </c>
      <c r="S160" s="13" t="s">
        <v>342</v>
      </c>
      <c r="T160" s="13" t="s">
        <v>443</v>
      </c>
      <c r="U160" s="13" t="s">
        <v>444</v>
      </c>
      <c r="V160" s="61"/>
      <c r="W160" s="13" t="s">
        <v>445</v>
      </c>
      <c r="X160" s="13" t="s">
        <v>157</v>
      </c>
      <c r="Y160" s="13" t="s">
        <v>82</v>
      </c>
    </row>
    <row r="161" spans="1:28" ht="18" customHeight="1" x14ac:dyDescent="0.4">
      <c r="A161" s="185" t="s">
        <v>515</v>
      </c>
      <c r="B161" s="205">
        <f>((H161*K161)/O161)</f>
        <v>0</v>
      </c>
      <c r="C161" s="200"/>
      <c r="D161" s="201">
        <f>IF($D$5=0,B161/$H$5,B161/$J$14)</f>
        <v>0</v>
      </c>
      <c r="E161" s="200"/>
      <c r="F161" s="201">
        <f>IF($F$5=0,(B161/($H$6/1000)),B161/$M$416)</f>
        <v>0</v>
      </c>
      <c r="G161" s="219">
        <f>B161/$B$313</f>
        <v>0</v>
      </c>
      <c r="H161" s="222">
        <f>M161*($H$1*$AD$9)*N161*J161</f>
        <v>0</v>
      </c>
      <c r="I161" s="204" t="str">
        <f t="shared" si="179"/>
        <v xml:space="preserve">hour </v>
      </c>
      <c r="J161" s="204">
        <f>Y161/$AF$2</f>
        <v>1</v>
      </c>
      <c r="K161" s="193">
        <f t="shared" si="180"/>
        <v>15</v>
      </c>
      <c r="L161" s="213" t="str">
        <f>CONCATENATE("/ ",I161)</f>
        <v xml:space="preserve">/ hour </v>
      </c>
      <c r="M161" s="222">
        <f>S161/$AE$4</f>
        <v>22.468085106382979</v>
      </c>
      <c r="N161" s="83">
        <v>1</v>
      </c>
      <c r="O161" s="204">
        <f t="shared" ref="O161:O164" si="198">$K$5</f>
        <v>10</v>
      </c>
      <c r="P161" s="83" t="s">
        <v>75</v>
      </c>
      <c r="Q161" s="83" t="s">
        <v>75</v>
      </c>
      <c r="R161" s="222">
        <f>(W161*60)*(43560*$AE$4)</f>
        <v>153.19148936170214</v>
      </c>
      <c r="S161" s="222">
        <f>(R161/60)</f>
        <v>2.5531914893617023</v>
      </c>
      <c r="T161" s="4">
        <f>6*60</f>
        <v>360</v>
      </c>
      <c r="U161" s="4">
        <f>46530*0.25</f>
        <v>11632.5</v>
      </c>
      <c r="V161" s="10" t="s">
        <v>393</v>
      </c>
      <c r="W161" s="244">
        <f>(T161/60)/U161</f>
        <v>5.1579626047711157E-4</v>
      </c>
      <c r="X161" s="60">
        <f>W161*43560</f>
        <v>22.468085106382979</v>
      </c>
      <c r="Y161" s="83">
        <v>1</v>
      </c>
    </row>
    <row r="162" spans="1:28" ht="18" customHeight="1" x14ac:dyDescent="0.4">
      <c r="A162" s="185" t="s">
        <v>516</v>
      </c>
      <c r="B162" s="205">
        <f>((H162*K162)/O162)</f>
        <v>0</v>
      </c>
      <c r="C162" s="200"/>
      <c r="D162" s="201">
        <f>IF($D$5=0,B162/$H$5,B162/$J$14)</f>
        <v>0</v>
      </c>
      <c r="E162" s="200"/>
      <c r="F162" s="201">
        <f>IF($F$5=0,(B162/($H$6/1000)),B162/$M$416)</f>
        <v>0</v>
      </c>
      <c r="G162" s="219">
        <f>B162/$B$313</f>
        <v>0</v>
      </c>
      <c r="H162" s="222">
        <f>M162*($H$1*$AD$10)*N162*J162</f>
        <v>0</v>
      </c>
      <c r="I162" s="204" t="str">
        <f t="shared" si="179"/>
        <v xml:space="preserve">hour </v>
      </c>
      <c r="J162" s="204">
        <f>Y162/$AF$2</f>
        <v>1</v>
      </c>
      <c r="K162" s="193">
        <f t="shared" si="180"/>
        <v>15</v>
      </c>
      <c r="L162" s="213" t="str">
        <f>CONCATENATE("/ ",I162)</f>
        <v xml:space="preserve">/ hour </v>
      </c>
      <c r="M162" s="222">
        <f>S162/$AE$4</f>
        <v>11.23404255319149</v>
      </c>
      <c r="N162" s="83">
        <v>1</v>
      </c>
      <c r="O162" s="204">
        <f t="shared" si="198"/>
        <v>10</v>
      </c>
      <c r="P162" s="83" t="s">
        <v>75</v>
      </c>
      <c r="Q162" s="83" t="s">
        <v>75</v>
      </c>
      <c r="R162" s="222">
        <f>(W162*60)*(43560*$AE$4)</f>
        <v>76.59574468085107</v>
      </c>
      <c r="S162" s="222">
        <f>(R162/60)</f>
        <v>1.2765957446808511</v>
      </c>
      <c r="T162" s="4">
        <f>3*60</f>
        <v>180</v>
      </c>
      <c r="U162" s="4">
        <f>46530*0.25</f>
        <v>11632.5</v>
      </c>
      <c r="V162" s="10" t="s">
        <v>393</v>
      </c>
      <c r="W162" s="244">
        <f>(T162/60)/U162</f>
        <v>2.5789813023855578E-4</v>
      </c>
      <c r="X162" s="60">
        <f>W162*43560</f>
        <v>11.23404255319149</v>
      </c>
      <c r="Y162" s="83">
        <v>1</v>
      </c>
    </row>
    <row r="163" spans="1:28" ht="18" customHeight="1" x14ac:dyDescent="0.4">
      <c r="A163" s="185" t="s">
        <v>517</v>
      </c>
      <c r="B163" s="205">
        <f>((H163*K163)/O163)</f>
        <v>0</v>
      </c>
      <c r="C163" s="200"/>
      <c r="D163" s="201">
        <f>IF($D$5=0,B163/$H$5,B163/$J$14)</f>
        <v>0</v>
      </c>
      <c r="E163" s="200"/>
      <c r="F163" s="201">
        <f>IF($F$5=0,(B163/($H$6/1000)),B163/$M$416)</f>
        <v>0</v>
      </c>
      <c r="G163" s="219">
        <f>B163/$B$313</f>
        <v>0</v>
      </c>
      <c r="H163" s="222">
        <f>M163*($H$1*$AD$11)*N163*J163</f>
        <v>0</v>
      </c>
      <c r="I163" s="204" t="str">
        <f t="shared" si="179"/>
        <v xml:space="preserve">hour </v>
      </c>
      <c r="J163" s="204">
        <f>Y163/$AF$2</f>
        <v>1</v>
      </c>
      <c r="K163" s="193">
        <f t="shared" si="180"/>
        <v>15</v>
      </c>
      <c r="L163" s="213" t="str">
        <f>CONCATENATE("/ ",I163)</f>
        <v xml:space="preserve">/ hour </v>
      </c>
      <c r="M163" s="222">
        <f>S163/$AE$4</f>
        <v>4.3988541666666672</v>
      </c>
      <c r="N163" s="83">
        <v>1</v>
      </c>
      <c r="O163" s="204">
        <f t="shared" si="198"/>
        <v>10</v>
      </c>
      <c r="P163" s="83" t="s">
        <v>75</v>
      </c>
      <c r="Q163" s="83" t="s">
        <v>75</v>
      </c>
      <c r="R163" s="222">
        <f>(W163*60)*(43560*$AE$4)</f>
        <v>29.9921875</v>
      </c>
      <c r="S163" s="222">
        <f>(R163/60)</f>
        <v>0.49986979166666667</v>
      </c>
      <c r="T163" s="83">
        <v>17.45</v>
      </c>
      <c r="U163" s="4">
        <f>48*6*10</f>
        <v>2880</v>
      </c>
      <c r="V163" s="10" t="s">
        <v>393</v>
      </c>
      <c r="W163" s="244">
        <f>(T163/60)/U163</f>
        <v>1.009837962962963E-4</v>
      </c>
      <c r="X163" s="60">
        <f>W163*43560</f>
        <v>4.3988541666666663</v>
      </c>
      <c r="Y163" s="83">
        <v>1</v>
      </c>
    </row>
    <row r="164" spans="1:28" ht="18" customHeight="1" x14ac:dyDescent="0.4">
      <c r="A164" s="185" t="s">
        <v>519</v>
      </c>
      <c r="B164" s="205">
        <f>((H164*K164)/O164)</f>
        <v>2.4861111111111098</v>
      </c>
      <c r="C164" s="200"/>
      <c r="D164" s="201">
        <f>IF($D$5=0,B164/$H$5,B164/$J$14)</f>
        <v>15.124999999999996</v>
      </c>
      <c r="E164" s="200"/>
      <c r="F164" s="201">
        <f>IF($F$5=0,(B164/($H$6/1000)),B164/$M$416)</f>
        <v>0.3472222222222221</v>
      </c>
      <c r="G164" s="219">
        <f>B164/$B$313</f>
        <v>5.0104580742588193E-3</v>
      </c>
      <c r="H164" s="222">
        <f>M164*($H$1*$AD$12)*N164*J164</f>
        <v>1.6574074074074068</v>
      </c>
      <c r="I164" s="204" t="str">
        <f t="shared" si="179"/>
        <v xml:space="preserve">hour </v>
      </c>
      <c r="J164" s="204">
        <f>Y164/$AF$2</f>
        <v>1</v>
      </c>
      <c r="K164" s="193">
        <f t="shared" si="180"/>
        <v>15</v>
      </c>
      <c r="L164" s="213" t="str">
        <f>CONCATENATE("/ ",I164)</f>
        <v xml:space="preserve">/ hour </v>
      </c>
      <c r="M164" s="222">
        <f>X164</f>
        <v>10.083333333333332</v>
      </c>
      <c r="N164" s="83">
        <v>1</v>
      </c>
      <c r="O164" s="204">
        <f t="shared" si="198"/>
        <v>10</v>
      </c>
      <c r="P164" s="83" t="s">
        <v>75</v>
      </c>
      <c r="Q164" s="83" t="s">
        <v>75</v>
      </c>
      <c r="R164" s="204">
        <f>(W164*60)*(43560*$AE$4)</f>
        <v>68.75</v>
      </c>
      <c r="S164" s="222">
        <f>(R164/60)</f>
        <v>1.1458333333333333</v>
      </c>
      <c r="T164" s="83">
        <f>20*2</f>
        <v>40</v>
      </c>
      <c r="U164" s="4">
        <f>48*6*10</f>
        <v>2880</v>
      </c>
      <c r="V164" s="10" t="s">
        <v>393</v>
      </c>
      <c r="W164" s="244">
        <f>(T164/60)/U164</f>
        <v>2.3148148148148146E-4</v>
      </c>
      <c r="X164" s="60">
        <f>W164*43560</f>
        <v>10.083333333333332</v>
      </c>
      <c r="Y164" s="83">
        <v>1</v>
      </c>
    </row>
    <row r="165" spans="1:28" ht="18" customHeight="1" x14ac:dyDescent="0.4">
      <c r="A165" s="24" t="s">
        <v>86</v>
      </c>
      <c r="B165" s="28"/>
      <c r="C165" s="9"/>
      <c r="D165" s="17"/>
      <c r="E165" s="9"/>
      <c r="F165" s="17"/>
      <c r="G165" s="70"/>
      <c r="H165" s="13" t="s">
        <v>232</v>
      </c>
      <c r="I165" s="13" t="s">
        <v>143</v>
      </c>
      <c r="J165" s="13" t="s">
        <v>82</v>
      </c>
      <c r="K165" s="13" t="s">
        <v>172</v>
      </c>
      <c r="L165" s="18" t="s">
        <v>147</v>
      </c>
      <c r="M165" s="13" t="s">
        <v>165</v>
      </c>
      <c r="N165" s="13" t="s">
        <v>82</v>
      </c>
      <c r="O165" s="13" t="s">
        <v>79</v>
      </c>
      <c r="P165" s="13" t="s">
        <v>73</v>
      </c>
      <c r="Q165" s="13" t="s">
        <v>74</v>
      </c>
      <c r="R165" s="13" t="s">
        <v>249</v>
      </c>
      <c r="S165" s="13" t="s">
        <v>342</v>
      </c>
      <c r="T165" s="187"/>
      <c r="U165" s="187"/>
      <c r="V165" s="187"/>
      <c r="W165" s="314"/>
    </row>
    <row r="166" spans="1:28" ht="18" customHeight="1" x14ac:dyDescent="0.4">
      <c r="A166" s="27" t="s">
        <v>186</v>
      </c>
      <c r="B166" s="19">
        <f>((H166*K166)/O166)*N166</f>
        <v>0</v>
      </c>
      <c r="C166" s="9"/>
      <c r="D166" s="20">
        <f t="shared" ref="D166:D168" si="199">IF($D$5=0,B166/$H$5,B166/$J$14)</f>
        <v>0</v>
      </c>
      <c r="E166" s="9"/>
      <c r="F166" s="81">
        <f>IF($F$5=0,(B166/($H$6/1000)),B166/$M$416)</f>
        <v>0</v>
      </c>
      <c r="G166" s="71">
        <f>B166/$B$313</f>
        <v>0</v>
      </c>
      <c r="H166" s="83">
        <v>0</v>
      </c>
      <c r="I166" s="83" t="s">
        <v>50</v>
      </c>
      <c r="J166" s="29" t="s">
        <v>136</v>
      </c>
      <c r="K166" s="6">
        <v>0</v>
      </c>
      <c r="L166" s="10" t="str">
        <f>CONCATENATE("/ ",I166)</f>
        <v>/ payment</v>
      </c>
      <c r="M166" s="29">
        <f>H166/$H$5</f>
        <v>0</v>
      </c>
      <c r="N166" s="83">
        <v>1</v>
      </c>
      <c r="O166" s="83">
        <v>1</v>
      </c>
      <c r="P166" s="83" t="s">
        <v>75</v>
      </c>
      <c r="Q166" s="83" t="s">
        <v>75</v>
      </c>
      <c r="R166" s="83">
        <v>0</v>
      </c>
      <c r="S166" s="61">
        <f t="shared" ref="S166:S168" si="200">(R166/60)</f>
        <v>0</v>
      </c>
      <c r="T166" s="61"/>
      <c r="U166" s="61"/>
      <c r="V166" s="61"/>
      <c r="W166" s="322"/>
    </row>
    <row r="167" spans="1:28" ht="18" customHeight="1" x14ac:dyDescent="0.4">
      <c r="A167" s="27" t="s">
        <v>187</v>
      </c>
      <c r="B167" s="19">
        <f>((H167*K167)/O167)*N167</f>
        <v>0</v>
      </c>
      <c r="C167" s="9"/>
      <c r="D167" s="20">
        <f t="shared" si="199"/>
        <v>0</v>
      </c>
      <c r="E167" s="9"/>
      <c r="F167" s="81">
        <f>IF($F$5=0,(B167/($H$6/1000)),B167/$M$416)</f>
        <v>0</v>
      </c>
      <c r="G167" s="71">
        <f>B167/$B$313</f>
        <v>0</v>
      </c>
      <c r="H167" s="83">
        <v>0</v>
      </c>
      <c r="I167" s="83" t="s">
        <v>50</v>
      </c>
      <c r="J167" s="29" t="s">
        <v>136</v>
      </c>
      <c r="K167" s="6">
        <v>0</v>
      </c>
      <c r="L167" s="10" t="str">
        <f>CONCATENATE("/ ",I167)</f>
        <v>/ payment</v>
      </c>
      <c r="M167" s="29">
        <f>H167/$H$5</f>
        <v>0</v>
      </c>
      <c r="N167" s="83">
        <v>1</v>
      </c>
      <c r="O167" s="83">
        <v>1</v>
      </c>
      <c r="P167" s="83" t="s">
        <v>75</v>
      </c>
      <c r="Q167" s="83" t="s">
        <v>75</v>
      </c>
      <c r="R167" s="83">
        <v>0</v>
      </c>
      <c r="S167" s="61">
        <f t="shared" si="200"/>
        <v>0</v>
      </c>
      <c r="T167" s="61"/>
      <c r="U167" s="61"/>
      <c r="V167" s="61"/>
      <c r="W167" s="322"/>
    </row>
    <row r="168" spans="1:28" ht="18" customHeight="1" x14ac:dyDescent="0.4">
      <c r="A168" s="2" t="s">
        <v>87</v>
      </c>
      <c r="B168" s="19">
        <f>((H168*K168)/O168)*N168</f>
        <v>0</v>
      </c>
      <c r="C168" s="9"/>
      <c r="D168" s="20">
        <f t="shared" si="199"/>
        <v>0</v>
      </c>
      <c r="E168" s="9"/>
      <c r="F168" s="81">
        <f>IF($F$5=0,(B168/($H$6/1000)),B168/$M$416)</f>
        <v>0</v>
      </c>
      <c r="G168" s="71">
        <f>B168/$B$313</f>
        <v>0</v>
      </c>
      <c r="H168" s="83">
        <v>0</v>
      </c>
      <c r="I168" s="83" t="s">
        <v>51</v>
      </c>
      <c r="J168" s="29" t="s">
        <v>136</v>
      </c>
      <c r="K168" s="6">
        <v>0</v>
      </c>
      <c r="L168" s="10" t="str">
        <f>CONCATENATE("/ ",I168)</f>
        <v>/ ?</v>
      </c>
      <c r="M168" s="29">
        <f>H168/$H$5</f>
        <v>0</v>
      </c>
      <c r="N168" s="83">
        <v>1</v>
      </c>
      <c r="O168" s="83">
        <v>1</v>
      </c>
      <c r="P168" s="83" t="s">
        <v>75</v>
      </c>
      <c r="Q168" s="83" t="s">
        <v>75</v>
      </c>
      <c r="R168" s="83">
        <v>0</v>
      </c>
      <c r="S168" s="61">
        <f t="shared" si="200"/>
        <v>0</v>
      </c>
      <c r="T168" s="61"/>
      <c r="U168" s="61"/>
      <c r="V168" s="61"/>
      <c r="W168" s="322"/>
      <c r="Z168" s="21">
        <f>SUM(B54:B169)</f>
        <v>118.02418911335572</v>
      </c>
      <c r="AA168" s="21">
        <f>SUM(D54:D169)</f>
        <v>718.03542985723141</v>
      </c>
      <c r="AB168" s="74" t="s">
        <v>9</v>
      </c>
    </row>
    <row r="169" spans="1:28" ht="18" customHeight="1" x14ac:dyDescent="0.4">
      <c r="A169" s="24" t="s">
        <v>62</v>
      </c>
      <c r="B169" s="28"/>
      <c r="C169" s="9"/>
      <c r="D169" s="17"/>
      <c r="E169" s="9"/>
      <c r="F169" s="17"/>
      <c r="G169" s="70"/>
      <c r="M169" s="31"/>
    </row>
    <row r="170" spans="1:28" ht="18" customHeight="1" x14ac:dyDescent="0.4">
      <c r="A170" s="24" t="s">
        <v>163</v>
      </c>
      <c r="B170" s="28"/>
      <c r="C170" s="9"/>
      <c r="D170" s="17"/>
      <c r="E170" s="9"/>
      <c r="F170" s="17"/>
      <c r="G170" s="70"/>
      <c r="H170" s="13" t="s">
        <v>232</v>
      </c>
      <c r="I170" s="13" t="s">
        <v>143</v>
      </c>
      <c r="J170" s="13" t="s">
        <v>82</v>
      </c>
      <c r="K170" s="13" t="s">
        <v>172</v>
      </c>
      <c r="L170" s="18" t="s">
        <v>147</v>
      </c>
      <c r="M170" s="13" t="s">
        <v>66</v>
      </c>
      <c r="N170" s="13" t="s">
        <v>82</v>
      </c>
      <c r="O170" s="13" t="s">
        <v>79</v>
      </c>
      <c r="P170" s="13" t="s">
        <v>73</v>
      </c>
      <c r="Q170" s="13" t="s">
        <v>74</v>
      </c>
      <c r="R170" s="13" t="s">
        <v>345</v>
      </c>
      <c r="S170" s="13" t="s">
        <v>342</v>
      </c>
      <c r="T170" s="187"/>
      <c r="U170" s="187"/>
      <c r="V170" s="187"/>
      <c r="W170" s="314"/>
    </row>
    <row r="171" spans="1:28" ht="18" customHeight="1" x14ac:dyDescent="0.4">
      <c r="A171" s="27" t="s">
        <v>188</v>
      </c>
      <c r="B171" s="19">
        <f>((H171*K171)/O171)*N171</f>
        <v>0</v>
      </c>
      <c r="C171" s="9"/>
      <c r="D171" s="20">
        <f t="shared" ref="D171:D174" si="201">IF($D$5=0,B171/$H$5,B171/$J$14)</f>
        <v>0</v>
      </c>
      <c r="E171" s="9"/>
      <c r="F171" s="81">
        <f>IF($F$5=0,(B171/($H$6/1000)),B171/$M$416)</f>
        <v>0</v>
      </c>
      <c r="G171" s="71">
        <f>B171/$B$313</f>
        <v>0</v>
      </c>
      <c r="H171" s="83">
        <v>0</v>
      </c>
      <c r="I171" s="29" t="str">
        <f>$K$3</f>
        <v>gallon</v>
      </c>
      <c r="J171" s="29" t="s">
        <v>136</v>
      </c>
      <c r="K171" s="6">
        <v>0</v>
      </c>
      <c r="L171" s="10" t="str">
        <f>CONCATENATE("/ ",I171)</f>
        <v>/ gallon</v>
      </c>
      <c r="M171" s="29">
        <f>H171/$H$5</f>
        <v>0</v>
      </c>
      <c r="N171" s="83">
        <v>1</v>
      </c>
      <c r="O171" s="83">
        <v>1</v>
      </c>
      <c r="P171" s="83" t="s">
        <v>75</v>
      </c>
      <c r="Q171" s="83" t="s">
        <v>75</v>
      </c>
      <c r="R171" s="83">
        <v>0</v>
      </c>
      <c r="S171" s="61">
        <f>R171</f>
        <v>0</v>
      </c>
      <c r="T171" s="61"/>
      <c r="U171" s="61"/>
      <c r="V171" s="61"/>
      <c r="W171" s="322"/>
    </row>
    <row r="172" spans="1:28" ht="18" customHeight="1" x14ac:dyDescent="0.4">
      <c r="A172" s="27" t="s">
        <v>189</v>
      </c>
      <c r="B172" s="19">
        <f>((H172*K172)/O172)*N172</f>
        <v>0</v>
      </c>
      <c r="C172" s="9"/>
      <c r="D172" s="20">
        <f t="shared" si="201"/>
        <v>0</v>
      </c>
      <c r="E172" s="9"/>
      <c r="F172" s="81">
        <f>IF($F$5=0,(B172/($H$6/1000)),B172/$M$416)</f>
        <v>0</v>
      </c>
      <c r="G172" s="71">
        <f>B172/$B$313</f>
        <v>0</v>
      </c>
      <c r="H172" s="83">
        <v>0</v>
      </c>
      <c r="I172" s="29" t="str">
        <f>$K$3</f>
        <v>gallon</v>
      </c>
      <c r="J172" s="29" t="s">
        <v>136</v>
      </c>
      <c r="K172" s="6">
        <v>0</v>
      </c>
      <c r="L172" s="10" t="str">
        <f>CONCATENATE("/ ",I172)</f>
        <v>/ gallon</v>
      </c>
      <c r="M172" s="29">
        <f>H172/$H$5</f>
        <v>0</v>
      </c>
      <c r="N172" s="83">
        <v>1</v>
      </c>
      <c r="O172" s="83">
        <v>1</v>
      </c>
      <c r="P172" s="83" t="s">
        <v>75</v>
      </c>
      <c r="Q172" s="83" t="s">
        <v>75</v>
      </c>
      <c r="R172" s="83">
        <v>0</v>
      </c>
      <c r="S172" s="61">
        <f t="shared" ref="S172:S220" si="202">R172</f>
        <v>0</v>
      </c>
      <c r="T172" s="61"/>
      <c r="U172" s="61"/>
      <c r="V172" s="61"/>
      <c r="W172" s="322"/>
    </row>
    <row r="173" spans="1:28" ht="18" customHeight="1" x14ac:dyDescent="0.4">
      <c r="A173" s="27" t="s">
        <v>190</v>
      </c>
      <c r="B173" s="19">
        <f>((H173*K173)/O173)*N173</f>
        <v>0</v>
      </c>
      <c r="C173" s="9"/>
      <c r="D173" s="20">
        <f t="shared" si="201"/>
        <v>0</v>
      </c>
      <c r="E173" s="9"/>
      <c r="F173" s="81">
        <f>IF($F$5=0,(B173/($H$6/1000)),B173/$M$416)</f>
        <v>0</v>
      </c>
      <c r="G173" s="71">
        <f>B173/$B$313</f>
        <v>0</v>
      </c>
      <c r="H173" s="83">
        <v>0</v>
      </c>
      <c r="I173" s="29" t="str">
        <f>$K$3</f>
        <v>gallon</v>
      </c>
      <c r="J173" s="29" t="s">
        <v>136</v>
      </c>
      <c r="K173" s="6">
        <v>0</v>
      </c>
      <c r="L173" s="10" t="str">
        <f>CONCATENATE("/ ",I173)</f>
        <v>/ gallon</v>
      </c>
      <c r="M173" s="29">
        <f>H173/$H$5</f>
        <v>0</v>
      </c>
      <c r="N173" s="83">
        <v>1</v>
      </c>
      <c r="O173" s="83">
        <v>1</v>
      </c>
      <c r="P173" s="83" t="s">
        <v>75</v>
      </c>
      <c r="Q173" s="83" t="s">
        <v>75</v>
      </c>
      <c r="R173" s="83">
        <v>0</v>
      </c>
      <c r="S173" s="61">
        <f t="shared" si="202"/>
        <v>0</v>
      </c>
      <c r="T173" s="61"/>
      <c r="U173" s="61"/>
      <c r="V173" s="61"/>
      <c r="W173" s="322"/>
    </row>
    <row r="174" spans="1:28" ht="18" customHeight="1" x14ac:dyDescent="0.4">
      <c r="A174" s="2" t="s">
        <v>88</v>
      </c>
      <c r="B174" s="19">
        <f>((H174*K174)/O174)*N174</f>
        <v>0</v>
      </c>
      <c r="C174" s="9"/>
      <c r="D174" s="20">
        <f t="shared" si="201"/>
        <v>0</v>
      </c>
      <c r="E174" s="9"/>
      <c r="F174" s="81">
        <f>IF($F$5=0,(B174/($H$6/1000)),B174/$M$416)</f>
        <v>0</v>
      </c>
      <c r="G174" s="71">
        <f>B174/$B$313</f>
        <v>0</v>
      </c>
      <c r="H174" s="83">
        <v>0</v>
      </c>
      <c r="I174" s="83" t="s">
        <v>51</v>
      </c>
      <c r="J174" s="29" t="s">
        <v>136</v>
      </c>
      <c r="K174" s="6">
        <v>0</v>
      </c>
      <c r="L174" s="10" t="str">
        <f>CONCATENATE("/ ",I174)</f>
        <v>/ ?</v>
      </c>
      <c r="M174" s="29">
        <f>H174/$H$5</f>
        <v>0</v>
      </c>
      <c r="N174" s="83">
        <v>1</v>
      </c>
      <c r="O174" s="83">
        <v>1</v>
      </c>
      <c r="P174" s="83" t="s">
        <v>75</v>
      </c>
      <c r="Q174" s="83" t="s">
        <v>75</v>
      </c>
      <c r="R174" s="83">
        <v>0</v>
      </c>
      <c r="S174" s="61">
        <f t="shared" si="202"/>
        <v>0</v>
      </c>
      <c r="T174" s="61"/>
      <c r="U174" s="61"/>
      <c r="V174" s="61"/>
      <c r="W174" s="322"/>
    </row>
    <row r="175" spans="1:28" ht="18" customHeight="1" x14ac:dyDescent="0.4">
      <c r="A175" s="24" t="s">
        <v>737</v>
      </c>
      <c r="B175" s="19"/>
      <c r="C175" s="9"/>
      <c r="D175" s="20"/>
      <c r="E175" s="9"/>
      <c r="F175" s="21"/>
      <c r="G175" s="71"/>
      <c r="H175" s="13" t="s">
        <v>232</v>
      </c>
      <c r="I175" s="13" t="s">
        <v>143</v>
      </c>
      <c r="J175" s="13" t="s">
        <v>82</v>
      </c>
      <c r="K175" s="13" t="s">
        <v>172</v>
      </c>
      <c r="L175" s="18" t="s">
        <v>147</v>
      </c>
      <c r="M175" s="13" t="s">
        <v>66</v>
      </c>
      <c r="N175" s="13" t="s">
        <v>82</v>
      </c>
      <c r="O175" s="13" t="s">
        <v>79</v>
      </c>
      <c r="P175" s="13" t="s">
        <v>73</v>
      </c>
      <c r="Q175" s="13" t="s">
        <v>74</v>
      </c>
      <c r="R175" s="13" t="s">
        <v>345</v>
      </c>
      <c r="S175" s="13" t="s">
        <v>342</v>
      </c>
      <c r="T175" s="187"/>
      <c r="U175" s="187"/>
      <c r="V175" s="187"/>
      <c r="W175" s="314"/>
    </row>
    <row r="176" spans="1:28" ht="18" customHeight="1" x14ac:dyDescent="0.4">
      <c r="A176" s="185" t="s">
        <v>435</v>
      </c>
      <c r="B176" s="199">
        <f t="shared" ref="B176:B183" si="203">(H176*K176)/O176</f>
        <v>0</v>
      </c>
      <c r="C176" s="200"/>
      <c r="D176" s="201">
        <f t="shared" ref="D176:D177" si="204">IF($D$5=0,B176/$H$5,B176/$J$14)</f>
        <v>0</v>
      </c>
      <c r="E176" s="200"/>
      <c r="F176" s="201">
        <f t="shared" ref="F176:F183" si="205">IF($F$5=0,(B176/($H$6/1000)),B176/$M$416)</f>
        <v>0</v>
      </c>
      <c r="G176" s="202">
        <f t="shared" ref="G176:G183" si="206">B176/$B$313</f>
        <v>0</v>
      </c>
      <c r="H176" s="204">
        <f>M176*$H$5*N176</f>
        <v>0</v>
      </c>
      <c r="I176" s="204" t="str">
        <f t="shared" ref="I176:I183" si="207">$K$3</f>
        <v>gallon</v>
      </c>
      <c r="J176" s="204" t="s">
        <v>136</v>
      </c>
      <c r="K176" s="193">
        <f t="shared" ref="K176:K183" si="208">$M$3</f>
        <v>3.5</v>
      </c>
      <c r="L176" s="213" t="str">
        <f t="shared" ref="L176:L183" si="209">CONCATENATE("/ ",I176)</f>
        <v>/ gallon</v>
      </c>
      <c r="M176" s="83">
        <v>0</v>
      </c>
      <c r="N176" s="204">
        <f t="shared" ref="N176:N183" si="210">J55</f>
        <v>1</v>
      </c>
      <c r="O176" s="204">
        <f t="shared" ref="O176:O183" si="211">O55</f>
        <v>50</v>
      </c>
      <c r="P176" s="83" t="s">
        <v>75</v>
      </c>
      <c r="Q176" s="83" t="s">
        <v>75</v>
      </c>
      <c r="R176" s="83">
        <v>0</v>
      </c>
      <c r="S176" s="223">
        <f t="shared" ref="S176:S177" si="212">R176</f>
        <v>0</v>
      </c>
      <c r="T176" s="61"/>
      <c r="U176" s="61"/>
      <c r="V176" s="61"/>
      <c r="W176" s="322"/>
    </row>
    <row r="177" spans="1:23" ht="18" customHeight="1" x14ac:dyDescent="0.4">
      <c r="A177" s="211" t="s">
        <v>250</v>
      </c>
      <c r="B177" s="19">
        <f t="shared" si="203"/>
        <v>0</v>
      </c>
      <c r="C177" s="80"/>
      <c r="D177" s="81">
        <f t="shared" si="204"/>
        <v>0</v>
      </c>
      <c r="E177" s="80"/>
      <c r="F177" s="81">
        <f t="shared" si="205"/>
        <v>0</v>
      </c>
      <c r="G177" s="82">
        <f t="shared" si="206"/>
        <v>0</v>
      </c>
      <c r="H177" s="29">
        <f>M177*(SUM($H$3:$H$4))*N177</f>
        <v>0</v>
      </c>
      <c r="I177" s="29" t="str">
        <f t="shared" si="207"/>
        <v>gallon</v>
      </c>
      <c r="J177" s="29" t="s">
        <v>136</v>
      </c>
      <c r="K177" s="30">
        <f t="shared" si="208"/>
        <v>3.5</v>
      </c>
      <c r="L177" s="150" t="str">
        <f t="shared" si="209"/>
        <v>/ gallon</v>
      </c>
      <c r="M177" s="83">
        <v>0</v>
      </c>
      <c r="N177" s="29">
        <f t="shared" si="210"/>
        <v>0</v>
      </c>
      <c r="O177" s="29">
        <f t="shared" si="211"/>
        <v>50</v>
      </c>
      <c r="P177" s="83" t="s">
        <v>75</v>
      </c>
      <c r="Q177" s="83" t="s">
        <v>75</v>
      </c>
      <c r="R177" s="83">
        <v>0</v>
      </c>
      <c r="S177" s="61">
        <f t="shared" si="212"/>
        <v>0</v>
      </c>
      <c r="T177" s="61"/>
      <c r="U177" s="61"/>
      <c r="V177" s="61"/>
      <c r="W177" s="322"/>
    </row>
    <row r="178" spans="1:23" ht="18" customHeight="1" x14ac:dyDescent="0.4">
      <c r="A178" s="185" t="s">
        <v>250</v>
      </c>
      <c r="B178" s="199">
        <f t="shared" si="203"/>
        <v>0</v>
      </c>
      <c r="C178" s="200"/>
      <c r="D178" s="201">
        <f t="shared" ref="D178:D183" si="213">IF($D$5=0,B178/$H$5,B178/$J$14)</f>
        <v>0</v>
      </c>
      <c r="E178" s="200"/>
      <c r="F178" s="201">
        <f t="shared" si="205"/>
        <v>0</v>
      </c>
      <c r="G178" s="202">
        <f t="shared" si="206"/>
        <v>0</v>
      </c>
      <c r="H178" s="204">
        <f>M178*$H$5*N178</f>
        <v>0</v>
      </c>
      <c r="I178" s="204" t="str">
        <f t="shared" si="207"/>
        <v>gallon</v>
      </c>
      <c r="J178" s="204" t="s">
        <v>136</v>
      </c>
      <c r="K178" s="193">
        <f t="shared" si="208"/>
        <v>3.5</v>
      </c>
      <c r="L178" s="213" t="str">
        <f t="shared" si="209"/>
        <v>/ gallon</v>
      </c>
      <c r="M178" s="83">
        <v>0</v>
      </c>
      <c r="N178" s="204">
        <f t="shared" si="210"/>
        <v>1</v>
      </c>
      <c r="O178" s="204">
        <f t="shared" si="211"/>
        <v>50</v>
      </c>
      <c r="P178" s="83" t="s">
        <v>75</v>
      </c>
      <c r="Q178" s="83" t="s">
        <v>75</v>
      </c>
      <c r="R178" s="83">
        <v>0</v>
      </c>
      <c r="S178" s="223">
        <f t="shared" si="202"/>
        <v>0</v>
      </c>
      <c r="T178" s="61"/>
      <c r="U178" s="61"/>
      <c r="V178" s="61"/>
      <c r="W178" s="322"/>
    </row>
    <row r="179" spans="1:23" ht="18" customHeight="1" x14ac:dyDescent="0.4">
      <c r="A179" s="211" t="s">
        <v>251</v>
      </c>
      <c r="B179" s="19">
        <f t="shared" si="203"/>
        <v>0</v>
      </c>
      <c r="C179" s="80"/>
      <c r="D179" s="81">
        <f t="shared" ref="D179" si="214">IF($D$5=0,B179/$H$5,B179/$J$14)</f>
        <v>0</v>
      </c>
      <c r="E179" s="80"/>
      <c r="F179" s="81">
        <f t="shared" si="205"/>
        <v>0</v>
      </c>
      <c r="G179" s="82">
        <f t="shared" si="206"/>
        <v>0</v>
      </c>
      <c r="H179" s="29">
        <f>M179*(SUM($H$3:$H$4))*N179</f>
        <v>0</v>
      </c>
      <c r="I179" s="29" t="str">
        <f t="shared" si="207"/>
        <v>gallon</v>
      </c>
      <c r="J179" s="29" t="s">
        <v>136</v>
      </c>
      <c r="K179" s="30">
        <f t="shared" si="208"/>
        <v>3.5</v>
      </c>
      <c r="L179" s="150" t="str">
        <f t="shared" si="209"/>
        <v>/ gallon</v>
      </c>
      <c r="M179" s="83">
        <v>0</v>
      </c>
      <c r="N179" s="29">
        <f t="shared" si="210"/>
        <v>0</v>
      </c>
      <c r="O179" s="29">
        <f t="shared" si="211"/>
        <v>10</v>
      </c>
      <c r="P179" s="83" t="s">
        <v>75</v>
      </c>
      <c r="Q179" s="83" t="s">
        <v>75</v>
      </c>
      <c r="R179" s="83">
        <v>0</v>
      </c>
      <c r="S179" s="61">
        <f t="shared" ref="S179" si="215">R179</f>
        <v>0</v>
      </c>
      <c r="T179" s="61"/>
      <c r="U179" s="61"/>
      <c r="V179" s="61"/>
      <c r="W179" s="322"/>
    </row>
    <row r="180" spans="1:23" ht="18" customHeight="1" x14ac:dyDescent="0.4">
      <c r="A180" s="185" t="s">
        <v>251</v>
      </c>
      <c r="B180" s="199">
        <f t="shared" si="203"/>
        <v>0</v>
      </c>
      <c r="C180" s="200"/>
      <c r="D180" s="201">
        <f t="shared" si="213"/>
        <v>0</v>
      </c>
      <c r="E180" s="200"/>
      <c r="F180" s="201">
        <f t="shared" si="205"/>
        <v>0</v>
      </c>
      <c r="G180" s="202">
        <f t="shared" si="206"/>
        <v>0</v>
      </c>
      <c r="H180" s="204">
        <f>M180*$H$5*N180</f>
        <v>0</v>
      </c>
      <c r="I180" s="204" t="str">
        <f t="shared" si="207"/>
        <v>gallon</v>
      </c>
      <c r="J180" s="204" t="s">
        <v>136</v>
      </c>
      <c r="K180" s="193">
        <f t="shared" si="208"/>
        <v>3.5</v>
      </c>
      <c r="L180" s="213" t="str">
        <f t="shared" si="209"/>
        <v>/ gallon</v>
      </c>
      <c r="M180" s="83">
        <v>0</v>
      </c>
      <c r="N180" s="204">
        <f t="shared" si="210"/>
        <v>1</v>
      </c>
      <c r="O180" s="204">
        <f t="shared" si="211"/>
        <v>10</v>
      </c>
      <c r="P180" s="83" t="s">
        <v>75</v>
      </c>
      <c r="Q180" s="83" t="s">
        <v>75</v>
      </c>
      <c r="R180" s="83">
        <v>0</v>
      </c>
      <c r="S180" s="223">
        <f t="shared" si="202"/>
        <v>0</v>
      </c>
      <c r="T180" s="61"/>
      <c r="U180" s="61"/>
      <c r="V180" s="61"/>
      <c r="W180" s="322"/>
    </row>
    <row r="181" spans="1:23" ht="18" customHeight="1" x14ac:dyDescent="0.4">
      <c r="A181" s="158" t="s">
        <v>252</v>
      </c>
      <c r="B181" s="19">
        <f t="shared" si="203"/>
        <v>0</v>
      </c>
      <c r="C181" s="9"/>
      <c r="D181" s="20">
        <f t="shared" si="213"/>
        <v>0</v>
      </c>
      <c r="E181" s="9"/>
      <c r="F181" s="81">
        <f t="shared" si="205"/>
        <v>0</v>
      </c>
      <c r="G181" s="71">
        <f t="shared" si="206"/>
        <v>0</v>
      </c>
      <c r="H181" s="29">
        <f>M181*(SUM($H$3:$H$4))*N181</f>
        <v>0</v>
      </c>
      <c r="I181" s="29" t="str">
        <f t="shared" si="207"/>
        <v>gallon</v>
      </c>
      <c r="J181" s="29" t="s">
        <v>136</v>
      </c>
      <c r="K181" s="30">
        <f t="shared" si="208"/>
        <v>3.5</v>
      </c>
      <c r="L181" s="10" t="str">
        <f t="shared" si="209"/>
        <v>/ gallon</v>
      </c>
      <c r="M181" s="83">
        <v>0</v>
      </c>
      <c r="N181" s="29">
        <f t="shared" si="210"/>
        <v>0</v>
      </c>
      <c r="O181" s="29">
        <f t="shared" si="211"/>
        <v>10</v>
      </c>
      <c r="P181" s="83" t="s">
        <v>75</v>
      </c>
      <c r="Q181" s="83" t="s">
        <v>75</v>
      </c>
      <c r="R181" s="83">
        <v>0</v>
      </c>
      <c r="S181" s="61">
        <f t="shared" si="202"/>
        <v>0</v>
      </c>
      <c r="T181" s="61"/>
      <c r="U181" s="61"/>
      <c r="V181" s="61"/>
      <c r="W181" s="322"/>
    </row>
    <row r="182" spans="1:23" ht="18" customHeight="1" x14ac:dyDescent="0.4">
      <c r="A182" s="185" t="s">
        <v>378</v>
      </c>
      <c r="B182" s="199">
        <f t="shared" si="203"/>
        <v>0</v>
      </c>
      <c r="C182" s="200"/>
      <c r="D182" s="201">
        <f t="shared" ref="D182" si="216">IF($D$5=0,B182/$H$5,B182/$J$14)</f>
        <v>0</v>
      </c>
      <c r="E182" s="200"/>
      <c r="F182" s="201">
        <f t="shared" si="205"/>
        <v>0</v>
      </c>
      <c r="G182" s="202">
        <f t="shared" si="206"/>
        <v>0</v>
      </c>
      <c r="H182" s="204">
        <f>M182*$H$5*N182</f>
        <v>0</v>
      </c>
      <c r="I182" s="204" t="str">
        <f t="shared" si="207"/>
        <v>gallon</v>
      </c>
      <c r="J182" s="204" t="s">
        <v>136</v>
      </c>
      <c r="K182" s="193">
        <f t="shared" si="208"/>
        <v>3.5</v>
      </c>
      <c r="L182" s="213" t="str">
        <f t="shared" si="209"/>
        <v>/ gallon</v>
      </c>
      <c r="M182" s="83">
        <v>0</v>
      </c>
      <c r="N182" s="204">
        <f t="shared" si="210"/>
        <v>1</v>
      </c>
      <c r="O182" s="204">
        <f t="shared" si="211"/>
        <v>10</v>
      </c>
      <c r="P182" s="83" t="s">
        <v>75</v>
      </c>
      <c r="Q182" s="83" t="s">
        <v>75</v>
      </c>
      <c r="R182" s="83">
        <v>0</v>
      </c>
      <c r="S182" s="223">
        <f t="shared" ref="S182" si="217">R182</f>
        <v>0</v>
      </c>
      <c r="T182" s="61"/>
      <c r="U182" s="61"/>
      <c r="V182" s="61"/>
      <c r="W182" s="322"/>
    </row>
    <row r="183" spans="1:23" ht="18" customHeight="1" x14ac:dyDescent="0.4">
      <c r="A183" s="158" t="s">
        <v>253</v>
      </c>
      <c r="B183" s="19">
        <f t="shared" si="203"/>
        <v>0</v>
      </c>
      <c r="C183" s="9"/>
      <c r="D183" s="20">
        <f t="shared" si="213"/>
        <v>0</v>
      </c>
      <c r="E183" s="9"/>
      <c r="F183" s="81">
        <f t="shared" si="205"/>
        <v>0</v>
      </c>
      <c r="G183" s="71">
        <f t="shared" si="206"/>
        <v>0</v>
      </c>
      <c r="H183" s="29">
        <f>M183*(SUM($H$3:$H$4))*N183</f>
        <v>0</v>
      </c>
      <c r="I183" s="29" t="str">
        <f t="shared" si="207"/>
        <v>gallon</v>
      </c>
      <c r="J183" s="29" t="s">
        <v>136</v>
      </c>
      <c r="K183" s="30">
        <f t="shared" si="208"/>
        <v>3.5</v>
      </c>
      <c r="L183" s="10" t="str">
        <f t="shared" si="209"/>
        <v>/ gallon</v>
      </c>
      <c r="M183" s="83">
        <v>0</v>
      </c>
      <c r="N183" s="29">
        <f t="shared" si="210"/>
        <v>0</v>
      </c>
      <c r="O183" s="29">
        <f t="shared" si="211"/>
        <v>10</v>
      </c>
      <c r="P183" s="83" t="s">
        <v>75</v>
      </c>
      <c r="Q183" s="83" t="s">
        <v>75</v>
      </c>
      <c r="R183" s="83">
        <v>0</v>
      </c>
      <c r="S183" s="61">
        <f t="shared" si="202"/>
        <v>0</v>
      </c>
      <c r="T183" s="61"/>
      <c r="U183" s="61"/>
      <c r="V183" s="61"/>
      <c r="W183" s="322"/>
    </row>
    <row r="184" spans="1:23" ht="18" customHeight="1" x14ac:dyDescent="0.4">
      <c r="A184" s="27" t="s">
        <v>254</v>
      </c>
      <c r="B184" s="19"/>
      <c r="C184" s="9"/>
      <c r="D184" s="20"/>
      <c r="E184" s="9"/>
      <c r="F184" s="21"/>
      <c r="G184" s="71"/>
      <c r="H184" s="13" t="s">
        <v>232</v>
      </c>
      <c r="I184" s="13" t="s">
        <v>143</v>
      </c>
      <c r="J184" s="13" t="s">
        <v>82</v>
      </c>
      <c r="K184" s="13" t="s">
        <v>172</v>
      </c>
      <c r="L184" s="18" t="s">
        <v>147</v>
      </c>
      <c r="M184" s="13" t="s">
        <v>66</v>
      </c>
      <c r="N184" s="13" t="s">
        <v>82</v>
      </c>
      <c r="O184" s="13" t="s">
        <v>79</v>
      </c>
      <c r="P184" s="13" t="s">
        <v>73</v>
      </c>
      <c r="Q184" s="13" t="s">
        <v>74</v>
      </c>
      <c r="R184" s="13" t="s">
        <v>345</v>
      </c>
      <c r="S184" s="13" t="s">
        <v>342</v>
      </c>
      <c r="T184" s="187"/>
      <c r="U184" s="187"/>
      <c r="V184" s="187"/>
      <c r="W184" s="314"/>
    </row>
    <row r="185" spans="1:23" ht="18" customHeight="1" x14ac:dyDescent="0.4">
      <c r="A185" s="27" t="s">
        <v>255</v>
      </c>
      <c r="B185" s="19">
        <f>(H185*K185)/O185</f>
        <v>0</v>
      </c>
      <c r="C185" s="9"/>
      <c r="D185" s="20">
        <f t="shared" ref="D185:D204" si="218">IF($D$5=0,B185/$H$5,B185/$J$14)</f>
        <v>0</v>
      </c>
      <c r="E185" s="9"/>
      <c r="F185" s="81">
        <f t="shared" ref="F185:F204" si="219">IF($F$5=0,(B185/($H$6/1000)),B185/$M$416)</f>
        <v>0</v>
      </c>
      <c r="G185" s="71">
        <f t="shared" ref="G185:G204" si="220">B185/$B$313</f>
        <v>0</v>
      </c>
      <c r="H185" s="4">
        <v>0</v>
      </c>
      <c r="I185" s="29" t="str">
        <f t="shared" ref="I185:I204" si="221">$K$3</f>
        <v>gallon</v>
      </c>
      <c r="J185" s="29" t="s">
        <v>136</v>
      </c>
      <c r="K185" s="30">
        <f t="shared" ref="K185:K204" si="222">$M$3</f>
        <v>3.5</v>
      </c>
      <c r="L185" s="10" t="str">
        <f t="shared" ref="L185:L204" si="223">CONCATENATE("/ ",I185)</f>
        <v>/ gallon</v>
      </c>
      <c r="M185" s="83">
        <v>0</v>
      </c>
      <c r="N185" s="29">
        <f t="shared" ref="N185:N204" si="224">J64</f>
        <v>0</v>
      </c>
      <c r="O185" s="29">
        <f t="shared" ref="O185:O204" si="225">O64</f>
        <v>10</v>
      </c>
      <c r="P185" s="83" t="s">
        <v>75</v>
      </c>
      <c r="Q185" s="83" t="s">
        <v>75</v>
      </c>
      <c r="R185" s="83">
        <v>0</v>
      </c>
      <c r="S185" s="61">
        <f t="shared" si="202"/>
        <v>0</v>
      </c>
      <c r="T185" s="61"/>
      <c r="U185" s="61"/>
      <c r="V185" s="61"/>
      <c r="W185" s="322"/>
    </row>
    <row r="186" spans="1:23" ht="18" customHeight="1" x14ac:dyDescent="0.4">
      <c r="A186" s="185" t="s">
        <v>380</v>
      </c>
      <c r="B186" s="199">
        <f t="shared" ref="B186:B187" si="226">(H186*K186)/O186</f>
        <v>0</v>
      </c>
      <c r="C186" s="200"/>
      <c r="D186" s="201">
        <f t="shared" si="218"/>
        <v>0</v>
      </c>
      <c r="E186" s="200"/>
      <c r="F186" s="201">
        <f t="shared" si="219"/>
        <v>0</v>
      </c>
      <c r="G186" s="219">
        <f t="shared" si="220"/>
        <v>0</v>
      </c>
      <c r="H186" s="223">
        <f>IF($S$2=1,M186*$H$1*N186,0)</f>
        <v>0</v>
      </c>
      <c r="I186" s="204" t="str">
        <f t="shared" si="221"/>
        <v>gallon</v>
      </c>
      <c r="J186" s="204" t="s">
        <v>136</v>
      </c>
      <c r="K186" s="193">
        <f t="shared" si="222"/>
        <v>3.5</v>
      </c>
      <c r="L186" s="213" t="str">
        <f t="shared" si="223"/>
        <v>/ gallon</v>
      </c>
      <c r="M186" s="215">
        <v>24</v>
      </c>
      <c r="N186" s="204">
        <f t="shared" si="224"/>
        <v>1</v>
      </c>
      <c r="O186" s="204">
        <f t="shared" si="225"/>
        <v>10</v>
      </c>
      <c r="P186" s="83" t="s">
        <v>75</v>
      </c>
      <c r="Q186" s="83" t="s">
        <v>75</v>
      </c>
      <c r="R186" s="83">
        <v>0</v>
      </c>
      <c r="S186" s="223">
        <f t="shared" si="202"/>
        <v>0</v>
      </c>
      <c r="T186" s="62"/>
      <c r="U186" s="62"/>
      <c r="V186" s="62"/>
      <c r="W186" s="323"/>
    </row>
    <row r="187" spans="1:23" ht="18" customHeight="1" x14ac:dyDescent="0.4">
      <c r="A187" s="185" t="s">
        <v>381</v>
      </c>
      <c r="B187" s="199">
        <f t="shared" si="226"/>
        <v>0</v>
      </c>
      <c r="C187" s="200"/>
      <c r="D187" s="201">
        <f t="shared" ref="D187" si="227">IF($D$5=0,B187/$H$5,B187/$J$14)</f>
        <v>0</v>
      </c>
      <c r="E187" s="200"/>
      <c r="F187" s="201">
        <f t="shared" si="219"/>
        <v>0</v>
      </c>
      <c r="G187" s="202">
        <f t="shared" si="220"/>
        <v>0</v>
      </c>
      <c r="H187" s="223">
        <f>M187*$T$9*N187</f>
        <v>0</v>
      </c>
      <c r="I187" s="204" t="str">
        <f t="shared" si="221"/>
        <v>gallon</v>
      </c>
      <c r="J187" s="204" t="s">
        <v>136</v>
      </c>
      <c r="K187" s="193">
        <f t="shared" si="222"/>
        <v>3.5</v>
      </c>
      <c r="L187" s="213" t="str">
        <f t="shared" ref="L187" si="228">CONCATENATE("/ ",I187)</f>
        <v>/ gallon</v>
      </c>
      <c r="M187" s="83">
        <v>0</v>
      </c>
      <c r="N187" s="204">
        <f t="shared" si="224"/>
        <v>1</v>
      </c>
      <c r="O187" s="204">
        <f t="shared" si="225"/>
        <v>10</v>
      </c>
      <c r="P187" s="83" t="s">
        <v>75</v>
      </c>
      <c r="Q187" s="83" t="s">
        <v>75</v>
      </c>
      <c r="R187" s="83">
        <v>0</v>
      </c>
      <c r="S187" s="223">
        <f t="shared" ref="S187" si="229">R187</f>
        <v>0</v>
      </c>
      <c r="T187" s="62"/>
      <c r="U187" s="62"/>
      <c r="V187" s="62"/>
      <c r="W187" s="323"/>
    </row>
    <row r="188" spans="1:23" ht="18" customHeight="1" x14ac:dyDescent="0.4">
      <c r="A188" s="158" t="s">
        <v>256</v>
      </c>
      <c r="B188" s="159">
        <f>(H188*K188)/O188</f>
        <v>0</v>
      </c>
      <c r="C188" s="9"/>
      <c r="D188" s="20">
        <f t="shared" si="218"/>
        <v>0</v>
      </c>
      <c r="E188" s="9"/>
      <c r="F188" s="81">
        <f t="shared" si="219"/>
        <v>0</v>
      </c>
      <c r="G188" s="71">
        <f t="shared" si="220"/>
        <v>0</v>
      </c>
      <c r="H188" s="29">
        <f t="shared" ref="H188:H201" si="230">M188*(SUM($H$3:$H$4))*N188</f>
        <v>0</v>
      </c>
      <c r="I188" s="29" t="str">
        <f t="shared" si="221"/>
        <v>gallon</v>
      </c>
      <c r="J188" s="29" t="s">
        <v>136</v>
      </c>
      <c r="K188" s="30">
        <f t="shared" si="222"/>
        <v>3.5</v>
      </c>
      <c r="L188" s="10" t="str">
        <f t="shared" si="223"/>
        <v>/ gallon</v>
      </c>
      <c r="M188" s="60">
        <f>S188/$AE$4</f>
        <v>0.61</v>
      </c>
      <c r="N188" s="29">
        <f t="shared" si="224"/>
        <v>0</v>
      </c>
      <c r="O188" s="29">
        <f t="shared" si="225"/>
        <v>10</v>
      </c>
      <c r="P188" s="83" t="s">
        <v>75</v>
      </c>
      <c r="Q188" s="83" t="s">
        <v>75</v>
      </c>
      <c r="R188" s="162">
        <f>R201</f>
        <v>6.931818181818182E-2</v>
      </c>
      <c r="S188" s="62">
        <f t="shared" si="202"/>
        <v>6.931818181818182E-2</v>
      </c>
      <c r="T188" s="62"/>
      <c r="U188" s="62"/>
      <c r="V188" s="62"/>
      <c r="W188" s="323"/>
    </row>
    <row r="189" spans="1:23" ht="18" customHeight="1" x14ac:dyDescent="0.4">
      <c r="A189" s="185" t="s">
        <v>506</v>
      </c>
      <c r="B189" s="205">
        <f t="shared" ref="B189" si="231">(H189*K189)/O189</f>
        <v>0</v>
      </c>
      <c r="C189" s="200"/>
      <c r="D189" s="201">
        <f t="shared" si="218"/>
        <v>0</v>
      </c>
      <c r="E189" s="200"/>
      <c r="F189" s="218">
        <f t="shared" si="219"/>
        <v>0</v>
      </c>
      <c r="G189" s="245">
        <f t="shared" si="220"/>
        <v>0</v>
      </c>
      <c r="H189" s="208">
        <f>M189*($T$9*$AD$9)*N189</f>
        <v>0</v>
      </c>
      <c r="I189" s="204" t="str">
        <f t="shared" si="221"/>
        <v>gallon</v>
      </c>
      <c r="J189" s="204" t="s">
        <v>136</v>
      </c>
      <c r="K189" s="193">
        <f t="shared" si="222"/>
        <v>3.5</v>
      </c>
      <c r="L189" s="213" t="str">
        <f t="shared" si="223"/>
        <v>/ gallon</v>
      </c>
      <c r="M189" s="215">
        <v>2</v>
      </c>
      <c r="N189" s="204">
        <f t="shared" si="224"/>
        <v>1</v>
      </c>
      <c r="O189" s="204">
        <f t="shared" si="225"/>
        <v>10</v>
      </c>
      <c r="P189" s="83" t="s">
        <v>75</v>
      </c>
      <c r="Q189" s="83" t="s">
        <v>75</v>
      </c>
      <c r="R189" s="208">
        <f t="shared" ref="R189:R200" si="232">M189*$AE$4</f>
        <v>0.22727272727272727</v>
      </c>
      <c r="S189" s="208">
        <f t="shared" si="202"/>
        <v>0.22727272727272727</v>
      </c>
      <c r="T189" s="62"/>
      <c r="U189" s="62"/>
      <c r="V189" s="62"/>
      <c r="W189" s="323"/>
    </row>
    <row r="190" spans="1:23" ht="18" customHeight="1" x14ac:dyDescent="0.4">
      <c r="A190" s="185" t="s">
        <v>499</v>
      </c>
      <c r="B190" s="205">
        <f t="shared" ref="B190" si="233">(H190*K190)/O190</f>
        <v>0</v>
      </c>
      <c r="C190" s="200"/>
      <c r="D190" s="201">
        <f t="shared" ref="D190" si="234">IF($D$5=0,B190/$H$5,B190/$J$14)</f>
        <v>0</v>
      </c>
      <c r="E190" s="200"/>
      <c r="F190" s="218">
        <f t="shared" si="219"/>
        <v>0</v>
      </c>
      <c r="G190" s="245">
        <f t="shared" si="220"/>
        <v>0</v>
      </c>
      <c r="H190" s="208">
        <f>M190*($T$9*$AD$10)*N190</f>
        <v>0</v>
      </c>
      <c r="I190" s="204" t="str">
        <f t="shared" si="221"/>
        <v>gallon</v>
      </c>
      <c r="J190" s="204" t="s">
        <v>136</v>
      </c>
      <c r="K190" s="193">
        <f t="shared" si="222"/>
        <v>3.5</v>
      </c>
      <c r="L190" s="213" t="str">
        <f t="shared" ref="L190" si="235">CONCATENATE("/ ",I190)</f>
        <v>/ gallon</v>
      </c>
      <c r="M190" s="215">
        <v>3</v>
      </c>
      <c r="N190" s="204">
        <f t="shared" si="224"/>
        <v>1</v>
      </c>
      <c r="O190" s="204">
        <f t="shared" si="225"/>
        <v>10</v>
      </c>
      <c r="P190" s="83" t="s">
        <v>75</v>
      </c>
      <c r="Q190" s="83" t="s">
        <v>75</v>
      </c>
      <c r="R190" s="208">
        <f t="shared" si="232"/>
        <v>0.34090909090909088</v>
      </c>
      <c r="S190" s="208">
        <f t="shared" ref="S190" si="236">R190</f>
        <v>0.34090909090909088</v>
      </c>
      <c r="T190" s="62"/>
      <c r="U190" s="62"/>
      <c r="V190" s="62"/>
      <c r="W190" s="323"/>
    </row>
    <row r="191" spans="1:23" ht="18" customHeight="1" x14ac:dyDescent="0.4">
      <c r="A191" s="185" t="s">
        <v>500</v>
      </c>
      <c r="B191" s="205">
        <f t="shared" ref="B191" si="237">(H191*K191)/O191</f>
        <v>0</v>
      </c>
      <c r="C191" s="200"/>
      <c r="D191" s="201">
        <f t="shared" ref="D191" si="238">IF($D$5=0,B191/$H$5,B191/$J$14)</f>
        <v>0</v>
      </c>
      <c r="E191" s="200"/>
      <c r="F191" s="218">
        <f t="shared" si="219"/>
        <v>0</v>
      </c>
      <c r="G191" s="245">
        <f t="shared" si="220"/>
        <v>0</v>
      </c>
      <c r="H191" s="208">
        <f>M191*($T$9*$AD$11)*N191</f>
        <v>0</v>
      </c>
      <c r="I191" s="204" t="str">
        <f t="shared" si="221"/>
        <v>gallon</v>
      </c>
      <c r="J191" s="204" t="s">
        <v>136</v>
      </c>
      <c r="K191" s="193">
        <f t="shared" si="222"/>
        <v>3.5</v>
      </c>
      <c r="L191" s="213" t="str">
        <f t="shared" ref="L191" si="239">CONCATENATE("/ ",I191)</f>
        <v>/ gallon</v>
      </c>
      <c r="M191" s="163">
        <v>0.61</v>
      </c>
      <c r="N191" s="204">
        <f t="shared" si="224"/>
        <v>1</v>
      </c>
      <c r="O191" s="204">
        <f t="shared" si="225"/>
        <v>10</v>
      </c>
      <c r="P191" s="83" t="s">
        <v>75</v>
      </c>
      <c r="Q191" s="83" t="s">
        <v>75</v>
      </c>
      <c r="R191" s="208">
        <f t="shared" si="232"/>
        <v>6.931818181818182E-2</v>
      </c>
      <c r="S191" s="208">
        <f t="shared" ref="S191" si="240">R191</f>
        <v>6.931818181818182E-2</v>
      </c>
      <c r="T191" s="62"/>
      <c r="U191" s="62"/>
      <c r="V191" s="62"/>
      <c r="W191" s="323"/>
    </row>
    <row r="192" spans="1:23" ht="18" customHeight="1" x14ac:dyDescent="0.4">
      <c r="A192" s="185" t="s">
        <v>501</v>
      </c>
      <c r="B192" s="205">
        <f t="shared" ref="B192:B200" si="241">(H192*K192)/O192</f>
        <v>1.1784511784511753E-2</v>
      </c>
      <c r="C192" s="200"/>
      <c r="D192" s="201">
        <f t="shared" ref="D192:D200" si="242">IF($D$5=0,B192/$H$5,B192/$J$14)</f>
        <v>7.1694599627560349E-2</v>
      </c>
      <c r="E192" s="200"/>
      <c r="F192" s="218">
        <f t="shared" si="219"/>
        <v>1.6458815341496866E-3</v>
      </c>
      <c r="G192" s="245">
        <f t="shared" si="220"/>
        <v>2.3750266815514921E-5</v>
      </c>
      <c r="H192" s="208">
        <f>M192*($T$9*$AD$12)*N192</f>
        <v>3.3670033670033579E-2</v>
      </c>
      <c r="I192" s="204" t="str">
        <f t="shared" si="221"/>
        <v>gallon</v>
      </c>
      <c r="J192" s="204" t="s">
        <v>136</v>
      </c>
      <c r="K192" s="193">
        <f t="shared" si="222"/>
        <v>3.5</v>
      </c>
      <c r="L192" s="213" t="str">
        <f t="shared" ref="L192:L200" si="243">CONCATENATE("/ ",I192)</f>
        <v>/ gallon</v>
      </c>
      <c r="M192" s="215">
        <v>1</v>
      </c>
      <c r="N192" s="204">
        <f t="shared" si="224"/>
        <v>1</v>
      </c>
      <c r="O192" s="204">
        <f t="shared" si="225"/>
        <v>10</v>
      </c>
      <c r="P192" s="83" t="s">
        <v>75</v>
      </c>
      <c r="Q192" s="83" t="s">
        <v>75</v>
      </c>
      <c r="R192" s="208">
        <f t="shared" si="232"/>
        <v>0.11363636363636363</v>
      </c>
      <c r="S192" s="208">
        <f t="shared" ref="S192:S200" si="244">R192</f>
        <v>0.11363636363636363</v>
      </c>
      <c r="T192" s="62"/>
      <c r="U192" s="62"/>
      <c r="V192" s="62"/>
      <c r="W192" s="323"/>
    </row>
    <row r="193" spans="1:23" ht="18" customHeight="1" x14ac:dyDescent="0.4">
      <c r="A193" s="185" t="s">
        <v>507</v>
      </c>
      <c r="B193" s="205">
        <f t="shared" si="241"/>
        <v>0</v>
      </c>
      <c r="C193" s="200"/>
      <c r="D193" s="201">
        <f t="shared" si="242"/>
        <v>0</v>
      </c>
      <c r="E193" s="200"/>
      <c r="F193" s="218">
        <f t="shared" si="219"/>
        <v>0</v>
      </c>
      <c r="G193" s="245">
        <f t="shared" si="220"/>
        <v>0</v>
      </c>
      <c r="H193" s="208">
        <f>M193*($T$10*$AD$9)*N193</f>
        <v>0</v>
      </c>
      <c r="I193" s="204" t="str">
        <f t="shared" si="221"/>
        <v>gallon</v>
      </c>
      <c r="J193" s="204" t="s">
        <v>136</v>
      </c>
      <c r="K193" s="193">
        <f t="shared" si="222"/>
        <v>3.5</v>
      </c>
      <c r="L193" s="213" t="str">
        <f t="shared" si="243"/>
        <v>/ gallon</v>
      </c>
      <c r="M193" s="215">
        <v>2</v>
      </c>
      <c r="N193" s="204">
        <f t="shared" si="224"/>
        <v>1</v>
      </c>
      <c r="O193" s="204">
        <f t="shared" si="225"/>
        <v>10</v>
      </c>
      <c r="P193" s="83" t="s">
        <v>75</v>
      </c>
      <c r="Q193" s="83" t="s">
        <v>75</v>
      </c>
      <c r="R193" s="208">
        <f t="shared" si="232"/>
        <v>0.22727272727272727</v>
      </c>
      <c r="S193" s="208">
        <f t="shared" si="244"/>
        <v>0.22727272727272727</v>
      </c>
      <c r="T193" s="62"/>
      <c r="U193" s="62"/>
      <c r="V193" s="62"/>
      <c r="W193" s="323"/>
    </row>
    <row r="194" spans="1:23" ht="18" customHeight="1" x14ac:dyDescent="0.4">
      <c r="A194" s="185" t="s">
        <v>508</v>
      </c>
      <c r="B194" s="205">
        <f t="shared" si="241"/>
        <v>0</v>
      </c>
      <c r="C194" s="200"/>
      <c r="D194" s="201">
        <f t="shared" si="242"/>
        <v>0</v>
      </c>
      <c r="E194" s="200"/>
      <c r="F194" s="218">
        <f t="shared" si="219"/>
        <v>0</v>
      </c>
      <c r="G194" s="245">
        <f t="shared" si="220"/>
        <v>0</v>
      </c>
      <c r="H194" s="208">
        <f>M194*($T$10*$AD$10)*N194</f>
        <v>0</v>
      </c>
      <c r="I194" s="204" t="str">
        <f t="shared" si="221"/>
        <v>gallon</v>
      </c>
      <c r="J194" s="204" t="s">
        <v>136</v>
      </c>
      <c r="K194" s="193">
        <f t="shared" si="222"/>
        <v>3.5</v>
      </c>
      <c r="L194" s="213" t="str">
        <f t="shared" si="243"/>
        <v>/ gallon</v>
      </c>
      <c r="M194" s="215">
        <v>3</v>
      </c>
      <c r="N194" s="204">
        <f t="shared" si="224"/>
        <v>1</v>
      </c>
      <c r="O194" s="204">
        <f t="shared" si="225"/>
        <v>10</v>
      </c>
      <c r="P194" s="83" t="s">
        <v>75</v>
      </c>
      <c r="Q194" s="83" t="s">
        <v>75</v>
      </c>
      <c r="R194" s="208">
        <f t="shared" si="232"/>
        <v>0.34090909090909088</v>
      </c>
      <c r="S194" s="208">
        <f t="shared" si="244"/>
        <v>0.34090909090909088</v>
      </c>
      <c r="T194" s="62"/>
      <c r="U194" s="62"/>
      <c r="V194" s="62"/>
      <c r="W194" s="323"/>
    </row>
    <row r="195" spans="1:23" ht="18" customHeight="1" x14ac:dyDescent="0.4">
      <c r="A195" s="185" t="s">
        <v>502</v>
      </c>
      <c r="B195" s="205">
        <f t="shared" si="241"/>
        <v>0</v>
      </c>
      <c r="C195" s="200"/>
      <c r="D195" s="201">
        <f t="shared" si="242"/>
        <v>0</v>
      </c>
      <c r="E195" s="200"/>
      <c r="F195" s="218">
        <f t="shared" si="219"/>
        <v>0</v>
      </c>
      <c r="G195" s="245">
        <f t="shared" si="220"/>
        <v>0</v>
      </c>
      <c r="H195" s="208">
        <f>M195*($T$10*$AD$11)*N195</f>
        <v>0</v>
      </c>
      <c r="I195" s="204" t="str">
        <f t="shared" si="221"/>
        <v>gallon</v>
      </c>
      <c r="J195" s="204" t="s">
        <v>136</v>
      </c>
      <c r="K195" s="193">
        <f t="shared" si="222"/>
        <v>3.5</v>
      </c>
      <c r="L195" s="213" t="str">
        <f t="shared" si="243"/>
        <v>/ gallon</v>
      </c>
      <c r="M195" s="163">
        <v>0.61</v>
      </c>
      <c r="N195" s="204">
        <f t="shared" si="224"/>
        <v>1</v>
      </c>
      <c r="O195" s="204">
        <f t="shared" si="225"/>
        <v>10</v>
      </c>
      <c r="P195" s="83" t="s">
        <v>75</v>
      </c>
      <c r="Q195" s="83" t="s">
        <v>75</v>
      </c>
      <c r="R195" s="208">
        <f t="shared" si="232"/>
        <v>6.931818181818182E-2</v>
      </c>
      <c r="S195" s="208">
        <f t="shared" si="244"/>
        <v>6.931818181818182E-2</v>
      </c>
      <c r="T195" s="62"/>
      <c r="U195" s="62"/>
      <c r="V195" s="62"/>
      <c r="W195" s="323"/>
    </row>
    <row r="196" spans="1:23" ht="18" customHeight="1" x14ac:dyDescent="0.4">
      <c r="A196" s="185" t="s">
        <v>503</v>
      </c>
      <c r="B196" s="205">
        <f t="shared" si="241"/>
        <v>1.1784511784511753E-2</v>
      </c>
      <c r="C196" s="200"/>
      <c r="D196" s="201">
        <f t="shared" si="242"/>
        <v>7.1694599627560349E-2</v>
      </c>
      <c r="E196" s="200"/>
      <c r="F196" s="218">
        <f t="shared" si="219"/>
        <v>1.6458815341496866E-3</v>
      </c>
      <c r="G196" s="245">
        <f t="shared" si="220"/>
        <v>2.3750266815514921E-5</v>
      </c>
      <c r="H196" s="208">
        <f>M196*($T$10*$AD$12)*N196</f>
        <v>3.3670033670033579E-2</v>
      </c>
      <c r="I196" s="204" t="str">
        <f t="shared" si="221"/>
        <v>gallon</v>
      </c>
      <c r="J196" s="204" t="s">
        <v>136</v>
      </c>
      <c r="K196" s="193">
        <f t="shared" si="222"/>
        <v>3.5</v>
      </c>
      <c r="L196" s="213" t="str">
        <f t="shared" si="243"/>
        <v>/ gallon</v>
      </c>
      <c r="M196" s="215">
        <v>1</v>
      </c>
      <c r="N196" s="204">
        <f t="shared" si="224"/>
        <v>1</v>
      </c>
      <c r="O196" s="204">
        <f t="shared" si="225"/>
        <v>10</v>
      </c>
      <c r="P196" s="83" t="s">
        <v>75</v>
      </c>
      <c r="Q196" s="83" t="s">
        <v>75</v>
      </c>
      <c r="R196" s="208">
        <f t="shared" si="232"/>
        <v>0.11363636363636363</v>
      </c>
      <c r="S196" s="208">
        <f t="shared" si="244"/>
        <v>0.11363636363636363</v>
      </c>
      <c r="T196" s="62"/>
      <c r="U196" s="62"/>
      <c r="V196" s="62"/>
      <c r="W196" s="323"/>
    </row>
    <row r="197" spans="1:23" ht="18" customHeight="1" x14ac:dyDescent="0.4">
      <c r="A197" s="185" t="s">
        <v>509</v>
      </c>
      <c r="B197" s="205">
        <f t="shared" ref="B197:B199" si="245">(H197*K197)/O197</f>
        <v>0</v>
      </c>
      <c r="C197" s="200"/>
      <c r="D197" s="201">
        <f t="shared" ref="D197:D199" si="246">IF($D$5=0,B197/$H$5,B197/$J$14)</f>
        <v>0</v>
      </c>
      <c r="E197" s="200"/>
      <c r="F197" s="218">
        <f t="shared" si="219"/>
        <v>0</v>
      </c>
      <c r="G197" s="245">
        <f t="shared" si="220"/>
        <v>0</v>
      </c>
      <c r="H197" s="208">
        <f>M197*($T$11*$AD$9)*N197</f>
        <v>0</v>
      </c>
      <c r="I197" s="204" t="str">
        <f t="shared" si="221"/>
        <v>gallon</v>
      </c>
      <c r="J197" s="204" t="s">
        <v>136</v>
      </c>
      <c r="K197" s="193">
        <f t="shared" si="222"/>
        <v>3.5</v>
      </c>
      <c r="L197" s="213" t="str">
        <f t="shared" ref="L197:L199" si="247">CONCATENATE("/ ",I197)</f>
        <v>/ gallon</v>
      </c>
      <c r="M197" s="215">
        <v>2</v>
      </c>
      <c r="N197" s="204">
        <f t="shared" si="224"/>
        <v>1</v>
      </c>
      <c r="O197" s="204">
        <f t="shared" si="225"/>
        <v>10</v>
      </c>
      <c r="P197" s="83" t="s">
        <v>75</v>
      </c>
      <c r="Q197" s="83" t="s">
        <v>75</v>
      </c>
      <c r="R197" s="208">
        <f t="shared" si="232"/>
        <v>0.22727272727272727</v>
      </c>
      <c r="S197" s="208">
        <f t="shared" ref="S197:S199" si="248">R197</f>
        <v>0.22727272727272727</v>
      </c>
      <c r="T197" s="62"/>
      <c r="U197" s="62"/>
      <c r="V197" s="62"/>
      <c r="W197" s="323"/>
    </row>
    <row r="198" spans="1:23" ht="18" customHeight="1" x14ac:dyDescent="0.4">
      <c r="A198" s="185" t="s">
        <v>510</v>
      </c>
      <c r="B198" s="205">
        <f t="shared" si="245"/>
        <v>0</v>
      </c>
      <c r="C198" s="200"/>
      <c r="D198" s="201">
        <f t="shared" si="246"/>
        <v>0</v>
      </c>
      <c r="E198" s="200"/>
      <c r="F198" s="218">
        <f t="shared" si="219"/>
        <v>0</v>
      </c>
      <c r="G198" s="245">
        <f t="shared" si="220"/>
        <v>0</v>
      </c>
      <c r="H198" s="208">
        <f>M198*($T$11*$AD$10)*N198</f>
        <v>0</v>
      </c>
      <c r="I198" s="204" t="str">
        <f t="shared" si="221"/>
        <v>gallon</v>
      </c>
      <c r="J198" s="204" t="s">
        <v>136</v>
      </c>
      <c r="K198" s="193">
        <f t="shared" si="222"/>
        <v>3.5</v>
      </c>
      <c r="L198" s="213" t="str">
        <f t="shared" si="247"/>
        <v>/ gallon</v>
      </c>
      <c r="M198" s="215">
        <v>3</v>
      </c>
      <c r="N198" s="204">
        <f t="shared" si="224"/>
        <v>1</v>
      </c>
      <c r="O198" s="204">
        <f t="shared" si="225"/>
        <v>10</v>
      </c>
      <c r="P198" s="83" t="s">
        <v>75</v>
      </c>
      <c r="Q198" s="83" t="s">
        <v>75</v>
      </c>
      <c r="R198" s="208">
        <f t="shared" si="232"/>
        <v>0.34090909090909088</v>
      </c>
      <c r="S198" s="208">
        <f t="shared" si="248"/>
        <v>0.34090909090909088</v>
      </c>
      <c r="T198" s="62"/>
      <c r="U198" s="62"/>
      <c r="V198" s="62"/>
      <c r="W198" s="323"/>
    </row>
    <row r="199" spans="1:23" ht="18" customHeight="1" x14ac:dyDescent="0.4">
      <c r="A199" s="185" t="s">
        <v>504</v>
      </c>
      <c r="B199" s="205">
        <f t="shared" si="245"/>
        <v>0</v>
      </c>
      <c r="C199" s="200"/>
      <c r="D199" s="201">
        <f t="shared" si="246"/>
        <v>0</v>
      </c>
      <c r="E199" s="200"/>
      <c r="F199" s="218">
        <f t="shared" si="219"/>
        <v>0</v>
      </c>
      <c r="G199" s="245">
        <f t="shared" si="220"/>
        <v>0</v>
      </c>
      <c r="H199" s="208">
        <f>M199*($T$11*$AD$11)*N199</f>
        <v>0</v>
      </c>
      <c r="I199" s="204" t="str">
        <f t="shared" si="221"/>
        <v>gallon</v>
      </c>
      <c r="J199" s="204" t="s">
        <v>136</v>
      </c>
      <c r="K199" s="193">
        <f t="shared" si="222"/>
        <v>3.5</v>
      </c>
      <c r="L199" s="213" t="str">
        <f t="shared" si="247"/>
        <v>/ gallon</v>
      </c>
      <c r="M199" s="163">
        <v>0.61</v>
      </c>
      <c r="N199" s="204">
        <f t="shared" si="224"/>
        <v>1</v>
      </c>
      <c r="O199" s="204">
        <f t="shared" si="225"/>
        <v>10</v>
      </c>
      <c r="P199" s="83" t="s">
        <v>75</v>
      </c>
      <c r="Q199" s="83" t="s">
        <v>75</v>
      </c>
      <c r="R199" s="208">
        <f t="shared" si="232"/>
        <v>6.931818181818182E-2</v>
      </c>
      <c r="S199" s="208">
        <f t="shared" si="248"/>
        <v>6.931818181818182E-2</v>
      </c>
      <c r="T199" s="62"/>
      <c r="U199" s="62"/>
      <c r="V199" s="62"/>
      <c r="W199" s="323"/>
    </row>
    <row r="200" spans="1:23" ht="18" customHeight="1" x14ac:dyDescent="0.4">
      <c r="A200" s="185" t="s">
        <v>505</v>
      </c>
      <c r="B200" s="205">
        <f t="shared" si="241"/>
        <v>3.3960820324456679E-2</v>
      </c>
      <c r="C200" s="200"/>
      <c r="D200" s="201">
        <f t="shared" si="242"/>
        <v>0.20661080074487895</v>
      </c>
      <c r="E200" s="200"/>
      <c r="F200" s="218">
        <f t="shared" si="219"/>
        <v>4.7431313302313807E-3</v>
      </c>
      <c r="G200" s="245">
        <f t="shared" si="220"/>
        <v>6.8443950731984074E-5</v>
      </c>
      <c r="H200" s="208">
        <f>M200*($T$11*$AD$12)*N200</f>
        <v>9.7030915212733368E-2</v>
      </c>
      <c r="I200" s="204" t="str">
        <f t="shared" si="221"/>
        <v>gallon</v>
      </c>
      <c r="J200" s="204" t="s">
        <v>136</v>
      </c>
      <c r="K200" s="193">
        <f t="shared" si="222"/>
        <v>3.5</v>
      </c>
      <c r="L200" s="213" t="str">
        <f t="shared" si="243"/>
        <v>/ gallon</v>
      </c>
      <c r="M200" s="215">
        <v>1</v>
      </c>
      <c r="N200" s="204">
        <f t="shared" si="224"/>
        <v>1</v>
      </c>
      <c r="O200" s="204">
        <f t="shared" si="225"/>
        <v>10</v>
      </c>
      <c r="P200" s="83" t="s">
        <v>75</v>
      </c>
      <c r="Q200" s="83" t="s">
        <v>75</v>
      </c>
      <c r="R200" s="208">
        <f t="shared" si="232"/>
        <v>0.11363636363636363</v>
      </c>
      <c r="S200" s="208">
        <f t="shared" si="244"/>
        <v>0.11363636363636363</v>
      </c>
      <c r="T200" s="62"/>
      <c r="U200" s="62"/>
      <c r="V200" s="62"/>
      <c r="W200" s="323"/>
    </row>
    <row r="201" spans="1:23" ht="18" customHeight="1" x14ac:dyDescent="0.4">
      <c r="A201" s="158" t="s">
        <v>257</v>
      </c>
      <c r="B201" s="159">
        <f>(H201*K201)/O201</f>
        <v>0</v>
      </c>
      <c r="C201" s="9"/>
      <c r="D201" s="20">
        <f t="shared" si="218"/>
        <v>0</v>
      </c>
      <c r="E201" s="9"/>
      <c r="F201" s="81">
        <f t="shared" si="219"/>
        <v>0</v>
      </c>
      <c r="G201" s="71">
        <f t="shared" si="220"/>
        <v>0</v>
      </c>
      <c r="H201" s="29">
        <f t="shared" si="230"/>
        <v>0</v>
      </c>
      <c r="I201" s="29" t="str">
        <f t="shared" si="221"/>
        <v>gallon</v>
      </c>
      <c r="J201" s="29" t="s">
        <v>136</v>
      </c>
      <c r="K201" s="30">
        <f t="shared" si="222"/>
        <v>3.5</v>
      </c>
      <c r="L201" s="10" t="str">
        <f t="shared" si="223"/>
        <v>/ gallon</v>
      </c>
      <c r="M201" s="60">
        <f>S201/$AE$4</f>
        <v>0.61</v>
      </c>
      <c r="N201" s="29">
        <f t="shared" si="224"/>
        <v>0</v>
      </c>
      <c r="O201" s="29">
        <f t="shared" si="225"/>
        <v>10</v>
      </c>
      <c r="P201" s="83" t="s">
        <v>75</v>
      </c>
      <c r="Q201" s="83" t="s">
        <v>75</v>
      </c>
      <c r="R201" s="162">
        <f>0.61*$AE$4</f>
        <v>6.931818181818182E-2</v>
      </c>
      <c r="S201" s="62">
        <f t="shared" si="202"/>
        <v>6.931818181818182E-2</v>
      </c>
      <c r="T201" s="62"/>
      <c r="U201" s="62"/>
      <c r="V201" s="62"/>
      <c r="W201" s="323"/>
    </row>
    <row r="202" spans="1:23" ht="18" customHeight="1" x14ac:dyDescent="0.4">
      <c r="A202" s="27" t="s">
        <v>258</v>
      </c>
      <c r="B202" s="19">
        <f t="shared" ref="B202:B204" si="249">(H202*K202)/O202</f>
        <v>0</v>
      </c>
      <c r="C202" s="9"/>
      <c r="D202" s="20">
        <f t="shared" si="218"/>
        <v>0</v>
      </c>
      <c r="E202" s="9"/>
      <c r="F202" s="81">
        <f t="shared" si="219"/>
        <v>0</v>
      </c>
      <c r="G202" s="71">
        <f t="shared" si="220"/>
        <v>0</v>
      </c>
      <c r="H202" s="4">
        <v>0</v>
      </c>
      <c r="I202" s="29" t="str">
        <f t="shared" si="221"/>
        <v>gallon</v>
      </c>
      <c r="J202" s="29" t="s">
        <v>136</v>
      </c>
      <c r="K202" s="30">
        <f t="shared" si="222"/>
        <v>3.5</v>
      </c>
      <c r="L202" s="10" t="str">
        <f t="shared" si="223"/>
        <v>/ gallon</v>
      </c>
      <c r="M202" s="83">
        <v>0</v>
      </c>
      <c r="N202" s="29">
        <f t="shared" si="224"/>
        <v>0</v>
      </c>
      <c r="O202" s="29">
        <f t="shared" si="225"/>
        <v>50</v>
      </c>
      <c r="P202" s="83" t="s">
        <v>75</v>
      </c>
      <c r="Q202" s="83" t="s">
        <v>75</v>
      </c>
      <c r="R202" s="83">
        <v>0</v>
      </c>
      <c r="S202" s="61">
        <f t="shared" si="202"/>
        <v>0</v>
      </c>
      <c r="T202" s="61"/>
      <c r="U202" s="61"/>
      <c r="V202" s="61"/>
      <c r="W202" s="322"/>
    </row>
    <row r="203" spans="1:23" ht="18" customHeight="1" x14ac:dyDescent="0.4">
      <c r="A203" s="27" t="s">
        <v>259</v>
      </c>
      <c r="B203" s="19">
        <f t="shared" si="249"/>
        <v>0</v>
      </c>
      <c r="C203" s="9"/>
      <c r="D203" s="20">
        <f t="shared" si="218"/>
        <v>0</v>
      </c>
      <c r="E203" s="9"/>
      <c r="F203" s="81">
        <f t="shared" si="219"/>
        <v>0</v>
      </c>
      <c r="G203" s="71">
        <f t="shared" si="220"/>
        <v>0</v>
      </c>
      <c r="H203" s="4">
        <v>0</v>
      </c>
      <c r="I203" s="29" t="str">
        <f t="shared" si="221"/>
        <v>gallon</v>
      </c>
      <c r="J203" s="29" t="s">
        <v>136</v>
      </c>
      <c r="K203" s="30">
        <f t="shared" si="222"/>
        <v>3.5</v>
      </c>
      <c r="L203" s="10" t="str">
        <f t="shared" si="223"/>
        <v>/ gallon</v>
      </c>
      <c r="M203" s="83">
        <v>0</v>
      </c>
      <c r="N203" s="29">
        <f t="shared" si="224"/>
        <v>0</v>
      </c>
      <c r="O203" s="29">
        <f t="shared" si="225"/>
        <v>50</v>
      </c>
      <c r="P203" s="83" t="s">
        <v>75</v>
      </c>
      <c r="Q203" s="83" t="s">
        <v>75</v>
      </c>
      <c r="R203" s="83">
        <v>0</v>
      </c>
      <c r="S203" s="61">
        <f t="shared" si="202"/>
        <v>0</v>
      </c>
      <c r="T203" s="61"/>
      <c r="U203" s="61"/>
      <c r="V203" s="61"/>
      <c r="W203" s="322"/>
    </row>
    <row r="204" spans="1:23" ht="18" customHeight="1" x14ac:dyDescent="0.4">
      <c r="A204" s="27" t="s">
        <v>260</v>
      </c>
      <c r="B204" s="19">
        <f t="shared" si="249"/>
        <v>0</v>
      </c>
      <c r="C204" s="9"/>
      <c r="D204" s="20">
        <f t="shared" si="218"/>
        <v>0</v>
      </c>
      <c r="E204" s="9"/>
      <c r="F204" s="81">
        <f t="shared" si="219"/>
        <v>0</v>
      </c>
      <c r="G204" s="71">
        <f t="shared" si="220"/>
        <v>0</v>
      </c>
      <c r="H204" s="4">
        <v>0</v>
      </c>
      <c r="I204" s="29" t="str">
        <f t="shared" si="221"/>
        <v>gallon</v>
      </c>
      <c r="J204" s="29" t="s">
        <v>136</v>
      </c>
      <c r="K204" s="30">
        <f t="shared" si="222"/>
        <v>3.5</v>
      </c>
      <c r="L204" s="10" t="str">
        <f t="shared" si="223"/>
        <v>/ gallon</v>
      </c>
      <c r="M204" s="83">
        <v>0</v>
      </c>
      <c r="N204" s="29">
        <f t="shared" si="224"/>
        <v>0</v>
      </c>
      <c r="O204" s="29">
        <f t="shared" si="225"/>
        <v>50</v>
      </c>
      <c r="P204" s="83" t="s">
        <v>75</v>
      </c>
      <c r="Q204" s="83" t="s">
        <v>75</v>
      </c>
      <c r="R204" s="83">
        <v>0</v>
      </c>
      <c r="S204" s="61">
        <f t="shared" si="202"/>
        <v>0</v>
      </c>
      <c r="T204" s="61"/>
      <c r="U204" s="61"/>
      <c r="V204" s="61"/>
      <c r="W204" s="322"/>
    </row>
    <row r="205" spans="1:23" ht="18" customHeight="1" x14ac:dyDescent="0.4">
      <c r="A205" s="54" t="s">
        <v>261</v>
      </c>
      <c r="B205" s="19"/>
      <c r="C205" s="9"/>
      <c r="D205" s="20"/>
      <c r="E205" s="9"/>
      <c r="F205" s="21"/>
      <c r="G205" s="71"/>
      <c r="H205" s="13" t="s">
        <v>232</v>
      </c>
      <c r="I205" s="13" t="s">
        <v>143</v>
      </c>
      <c r="J205" s="13" t="s">
        <v>82</v>
      </c>
      <c r="K205" s="13" t="s">
        <v>172</v>
      </c>
      <c r="L205" s="18" t="s">
        <v>147</v>
      </c>
      <c r="M205" s="13" t="s">
        <v>66</v>
      </c>
      <c r="N205" s="13" t="s">
        <v>82</v>
      </c>
      <c r="O205" s="13" t="s">
        <v>79</v>
      </c>
      <c r="P205" s="13" t="s">
        <v>73</v>
      </c>
      <c r="Q205" s="13" t="s">
        <v>74</v>
      </c>
      <c r="R205" s="13" t="s">
        <v>345</v>
      </c>
      <c r="S205" s="13" t="s">
        <v>342</v>
      </c>
      <c r="T205" s="187"/>
      <c r="U205" s="187"/>
      <c r="V205" s="187"/>
      <c r="W205" s="314"/>
    </row>
    <row r="206" spans="1:23" ht="18" customHeight="1" x14ac:dyDescent="0.4">
      <c r="A206" s="27" t="s">
        <v>262</v>
      </c>
      <c r="B206" s="19">
        <f t="shared" ref="B206:B220" si="250">(H206*K206)/O206</f>
        <v>0</v>
      </c>
      <c r="C206" s="9"/>
      <c r="D206" s="20">
        <f t="shared" ref="D206:D220" si="251">IF($D$5=0,B206/$H$5,B206/$J$14)</f>
        <v>0</v>
      </c>
      <c r="E206" s="9"/>
      <c r="F206" s="81">
        <f t="shared" ref="F206:F220" si="252">IF($F$5=0,(B206/($H$6/1000)),B206/$M$416)</f>
        <v>0</v>
      </c>
      <c r="G206" s="71">
        <f t="shared" ref="G206:G220" si="253">B206/$B$313</f>
        <v>0</v>
      </c>
      <c r="H206" s="4">
        <v>0</v>
      </c>
      <c r="I206" s="29" t="str">
        <f t="shared" ref="I206:I260" si="254">$K$3</f>
        <v>gallon</v>
      </c>
      <c r="J206" s="29" t="s">
        <v>136</v>
      </c>
      <c r="K206" s="30">
        <f t="shared" ref="K206:K260" si="255">$M$3</f>
        <v>3.5</v>
      </c>
      <c r="L206" s="10" t="str">
        <f>CONCATENATE("/ ",I206)</f>
        <v>/ gallon</v>
      </c>
      <c r="M206" s="83">
        <v>0</v>
      </c>
      <c r="N206" s="29">
        <f t="shared" ref="N206:N220" si="256">J85</f>
        <v>0</v>
      </c>
      <c r="O206" s="29">
        <f t="shared" ref="O206:O220" si="257">O85</f>
        <v>10</v>
      </c>
      <c r="P206" s="83" t="s">
        <v>75</v>
      </c>
      <c r="Q206" s="83" t="s">
        <v>75</v>
      </c>
      <c r="R206" s="83">
        <v>0</v>
      </c>
      <c r="S206" s="61">
        <f t="shared" si="202"/>
        <v>0</v>
      </c>
      <c r="T206" s="61"/>
      <c r="U206" s="61"/>
      <c r="V206" s="61"/>
      <c r="W206" s="322"/>
    </row>
    <row r="207" spans="1:23" ht="18" customHeight="1" x14ac:dyDescent="0.4">
      <c r="A207" s="27" t="s">
        <v>263</v>
      </c>
      <c r="B207" s="19">
        <f t="shared" si="250"/>
        <v>0</v>
      </c>
      <c r="C207" s="9"/>
      <c r="D207" s="20">
        <f t="shared" si="251"/>
        <v>0</v>
      </c>
      <c r="E207" s="9"/>
      <c r="F207" s="81">
        <f t="shared" si="252"/>
        <v>0</v>
      </c>
      <c r="G207" s="71">
        <f t="shared" si="253"/>
        <v>0</v>
      </c>
      <c r="H207" s="4">
        <v>0</v>
      </c>
      <c r="I207" s="29" t="str">
        <f t="shared" si="254"/>
        <v>gallon</v>
      </c>
      <c r="J207" s="29" t="s">
        <v>136</v>
      </c>
      <c r="K207" s="30">
        <f t="shared" si="255"/>
        <v>3.5</v>
      </c>
      <c r="L207" s="10" t="str">
        <f>CONCATENATE("/ ",I207)</f>
        <v>/ gallon</v>
      </c>
      <c r="M207" s="83">
        <v>0</v>
      </c>
      <c r="N207" s="29">
        <f t="shared" si="256"/>
        <v>0</v>
      </c>
      <c r="O207" s="29">
        <f t="shared" si="257"/>
        <v>10</v>
      </c>
      <c r="P207" s="83" t="s">
        <v>75</v>
      </c>
      <c r="Q207" s="83" t="s">
        <v>75</v>
      </c>
      <c r="R207" s="83">
        <v>0</v>
      </c>
      <c r="S207" s="61">
        <f t="shared" si="202"/>
        <v>0</v>
      </c>
      <c r="T207" s="61"/>
      <c r="U207" s="61"/>
      <c r="V207" s="61"/>
      <c r="W207" s="322"/>
    </row>
    <row r="208" spans="1:23" ht="18" customHeight="1" x14ac:dyDescent="0.4">
      <c r="A208" s="27" t="s">
        <v>264</v>
      </c>
      <c r="B208" s="19">
        <f t="shared" si="250"/>
        <v>0</v>
      </c>
      <c r="C208" s="9"/>
      <c r="D208" s="20">
        <f t="shared" si="251"/>
        <v>0</v>
      </c>
      <c r="E208" s="9"/>
      <c r="F208" s="81">
        <f t="shared" si="252"/>
        <v>0</v>
      </c>
      <c r="G208" s="71">
        <f t="shared" si="253"/>
        <v>0</v>
      </c>
      <c r="H208" s="4">
        <v>0</v>
      </c>
      <c r="I208" s="29" t="str">
        <f t="shared" si="254"/>
        <v>gallon</v>
      </c>
      <c r="J208" s="29" t="s">
        <v>136</v>
      </c>
      <c r="K208" s="30">
        <f t="shared" si="255"/>
        <v>3.5</v>
      </c>
      <c r="L208" s="10" t="str">
        <f>CONCATENATE("/ ",I208)</f>
        <v>/ gallon</v>
      </c>
      <c r="M208" s="83">
        <v>0</v>
      </c>
      <c r="N208" s="29">
        <f t="shared" si="256"/>
        <v>0</v>
      </c>
      <c r="O208" s="29">
        <f t="shared" si="257"/>
        <v>10</v>
      </c>
      <c r="P208" s="83" t="s">
        <v>75</v>
      </c>
      <c r="Q208" s="83" t="s">
        <v>75</v>
      </c>
      <c r="R208" s="83">
        <v>0</v>
      </c>
      <c r="S208" s="61">
        <f t="shared" si="202"/>
        <v>0</v>
      </c>
      <c r="T208" s="61"/>
      <c r="U208" s="61"/>
      <c r="V208" s="61"/>
      <c r="W208" s="322"/>
    </row>
    <row r="209" spans="1:23" ht="18" customHeight="1" x14ac:dyDescent="0.4">
      <c r="A209" s="27" t="s">
        <v>265</v>
      </c>
      <c r="B209" s="19">
        <f t="shared" si="250"/>
        <v>0</v>
      </c>
      <c r="C209" s="9"/>
      <c r="D209" s="20">
        <f t="shared" si="251"/>
        <v>0</v>
      </c>
      <c r="E209" s="9"/>
      <c r="F209" s="81">
        <f t="shared" si="252"/>
        <v>0</v>
      </c>
      <c r="G209" s="71">
        <f t="shared" si="253"/>
        <v>0</v>
      </c>
      <c r="H209" s="4">
        <v>0</v>
      </c>
      <c r="I209" s="29" t="str">
        <f t="shared" si="254"/>
        <v>gallon</v>
      </c>
      <c r="J209" s="29" t="s">
        <v>136</v>
      </c>
      <c r="K209" s="30">
        <f t="shared" si="255"/>
        <v>3.5</v>
      </c>
      <c r="L209" s="10" t="str">
        <f>CONCATENATE("/ ",I209)</f>
        <v>/ gallon</v>
      </c>
      <c r="M209" s="83">
        <v>0</v>
      </c>
      <c r="N209" s="29">
        <f t="shared" si="256"/>
        <v>0</v>
      </c>
      <c r="O209" s="29">
        <f t="shared" si="257"/>
        <v>10</v>
      </c>
      <c r="P209" s="83" t="s">
        <v>75</v>
      </c>
      <c r="Q209" s="83" t="s">
        <v>75</v>
      </c>
      <c r="R209" s="83">
        <v>0</v>
      </c>
      <c r="S209" s="61">
        <f t="shared" si="202"/>
        <v>0</v>
      </c>
      <c r="T209" s="61"/>
      <c r="U209" s="61"/>
      <c r="V209" s="61"/>
      <c r="W209" s="322"/>
    </row>
    <row r="210" spans="1:23" ht="18" customHeight="1" x14ac:dyDescent="0.4">
      <c r="A210" s="27" t="s">
        <v>266</v>
      </c>
      <c r="B210" s="19">
        <f t="shared" si="250"/>
        <v>0</v>
      </c>
      <c r="C210" s="9"/>
      <c r="D210" s="20">
        <f t="shared" si="251"/>
        <v>0</v>
      </c>
      <c r="E210" s="9"/>
      <c r="F210" s="81">
        <f t="shared" si="252"/>
        <v>0</v>
      </c>
      <c r="G210" s="71">
        <f t="shared" si="253"/>
        <v>0</v>
      </c>
      <c r="H210" s="4">
        <v>0</v>
      </c>
      <c r="I210" s="29" t="str">
        <f t="shared" si="254"/>
        <v>gallon</v>
      </c>
      <c r="J210" s="29" t="s">
        <v>136</v>
      </c>
      <c r="K210" s="30">
        <f t="shared" si="255"/>
        <v>3.5</v>
      </c>
      <c r="L210" s="10" t="str">
        <f t="shared" ref="L210:L218" si="258">CONCATENATE("/ ",I210)</f>
        <v>/ gallon</v>
      </c>
      <c r="M210" s="83">
        <v>0</v>
      </c>
      <c r="N210" s="29">
        <f t="shared" si="256"/>
        <v>0</v>
      </c>
      <c r="O210" s="29">
        <f t="shared" si="257"/>
        <v>10</v>
      </c>
      <c r="P210" s="83" t="s">
        <v>75</v>
      </c>
      <c r="Q210" s="83" t="s">
        <v>75</v>
      </c>
      <c r="R210" s="83">
        <v>0</v>
      </c>
      <c r="S210" s="61">
        <f t="shared" si="202"/>
        <v>0</v>
      </c>
      <c r="T210" s="61"/>
      <c r="U210" s="61"/>
      <c r="V210" s="61"/>
      <c r="W210" s="322"/>
    </row>
    <row r="211" spans="1:23" ht="18" customHeight="1" x14ac:dyDescent="0.4">
      <c r="A211" s="27" t="s">
        <v>267</v>
      </c>
      <c r="B211" s="19">
        <f t="shared" si="250"/>
        <v>0</v>
      </c>
      <c r="C211" s="9"/>
      <c r="D211" s="20">
        <f t="shared" si="251"/>
        <v>0</v>
      </c>
      <c r="E211" s="9"/>
      <c r="F211" s="81">
        <f t="shared" si="252"/>
        <v>0</v>
      </c>
      <c r="G211" s="71">
        <f t="shared" si="253"/>
        <v>0</v>
      </c>
      <c r="H211" s="4">
        <v>0</v>
      </c>
      <c r="I211" s="29" t="str">
        <f t="shared" si="254"/>
        <v>gallon</v>
      </c>
      <c r="J211" s="29" t="s">
        <v>136</v>
      </c>
      <c r="K211" s="30">
        <f t="shared" si="255"/>
        <v>3.5</v>
      </c>
      <c r="L211" s="10" t="str">
        <f t="shared" si="258"/>
        <v>/ gallon</v>
      </c>
      <c r="M211" s="83">
        <v>0</v>
      </c>
      <c r="N211" s="29">
        <f t="shared" si="256"/>
        <v>0</v>
      </c>
      <c r="O211" s="29">
        <f t="shared" si="257"/>
        <v>10</v>
      </c>
      <c r="P211" s="83" t="s">
        <v>75</v>
      </c>
      <c r="Q211" s="83" t="s">
        <v>75</v>
      </c>
      <c r="R211" s="83">
        <v>0</v>
      </c>
      <c r="S211" s="61">
        <f t="shared" si="202"/>
        <v>0</v>
      </c>
      <c r="T211" s="61"/>
      <c r="U211" s="61"/>
      <c r="V211" s="61"/>
      <c r="W211" s="322"/>
    </row>
    <row r="212" spans="1:23" ht="18" customHeight="1" x14ac:dyDescent="0.4">
      <c r="A212" s="27" t="s">
        <v>268</v>
      </c>
      <c r="B212" s="19">
        <f t="shared" si="250"/>
        <v>0</v>
      </c>
      <c r="C212" s="9"/>
      <c r="D212" s="20">
        <f t="shared" si="251"/>
        <v>0</v>
      </c>
      <c r="E212" s="9"/>
      <c r="F212" s="81">
        <f t="shared" si="252"/>
        <v>0</v>
      </c>
      <c r="G212" s="71">
        <f t="shared" si="253"/>
        <v>0</v>
      </c>
      <c r="H212" s="4">
        <v>0</v>
      </c>
      <c r="I212" s="29" t="str">
        <f t="shared" si="254"/>
        <v>gallon</v>
      </c>
      <c r="J212" s="29" t="s">
        <v>136</v>
      </c>
      <c r="K212" s="30">
        <f t="shared" si="255"/>
        <v>3.5</v>
      </c>
      <c r="L212" s="10" t="str">
        <f t="shared" si="258"/>
        <v>/ gallon</v>
      </c>
      <c r="M212" s="83">
        <v>0</v>
      </c>
      <c r="N212" s="29">
        <f t="shared" si="256"/>
        <v>0</v>
      </c>
      <c r="O212" s="29">
        <f t="shared" si="257"/>
        <v>10</v>
      </c>
      <c r="P212" s="83" t="s">
        <v>75</v>
      </c>
      <c r="Q212" s="83" t="s">
        <v>75</v>
      </c>
      <c r="R212" s="83">
        <v>0</v>
      </c>
      <c r="S212" s="61">
        <f t="shared" si="202"/>
        <v>0</v>
      </c>
      <c r="T212" s="61"/>
      <c r="U212" s="61"/>
      <c r="V212" s="61"/>
      <c r="W212" s="322"/>
    </row>
    <row r="213" spans="1:23" ht="18" customHeight="1" x14ac:dyDescent="0.4">
      <c r="A213" s="27" t="s">
        <v>269</v>
      </c>
      <c r="B213" s="19">
        <f t="shared" si="250"/>
        <v>0</v>
      </c>
      <c r="C213" s="9"/>
      <c r="D213" s="20">
        <f t="shared" si="251"/>
        <v>0</v>
      </c>
      <c r="E213" s="9"/>
      <c r="F213" s="81">
        <f t="shared" si="252"/>
        <v>0</v>
      </c>
      <c r="G213" s="71">
        <f t="shared" si="253"/>
        <v>0</v>
      </c>
      <c r="H213" s="4">
        <v>0</v>
      </c>
      <c r="I213" s="29" t="str">
        <f t="shared" si="254"/>
        <v>gallon</v>
      </c>
      <c r="J213" s="29" t="s">
        <v>136</v>
      </c>
      <c r="K213" s="30">
        <f t="shared" si="255"/>
        <v>3.5</v>
      </c>
      <c r="L213" s="10" t="str">
        <f t="shared" si="258"/>
        <v>/ gallon</v>
      </c>
      <c r="M213" s="83">
        <v>0</v>
      </c>
      <c r="N213" s="29">
        <f t="shared" si="256"/>
        <v>0</v>
      </c>
      <c r="O213" s="29">
        <f t="shared" si="257"/>
        <v>10</v>
      </c>
      <c r="P213" s="83" t="s">
        <v>75</v>
      </c>
      <c r="Q213" s="83" t="s">
        <v>75</v>
      </c>
      <c r="R213" s="83">
        <v>0</v>
      </c>
      <c r="S213" s="61">
        <f t="shared" si="202"/>
        <v>0</v>
      </c>
      <c r="T213" s="61"/>
      <c r="U213" s="61"/>
      <c r="V213" s="61"/>
      <c r="W213" s="322"/>
    </row>
    <row r="214" spans="1:23" ht="18" customHeight="1" x14ac:dyDescent="0.4">
      <c r="A214" s="27" t="s">
        <v>270</v>
      </c>
      <c r="B214" s="19">
        <f t="shared" si="250"/>
        <v>0</v>
      </c>
      <c r="C214" s="9"/>
      <c r="D214" s="20">
        <f t="shared" si="251"/>
        <v>0</v>
      </c>
      <c r="E214" s="9"/>
      <c r="F214" s="81">
        <f t="shared" si="252"/>
        <v>0</v>
      </c>
      <c r="G214" s="71">
        <f t="shared" si="253"/>
        <v>0</v>
      </c>
      <c r="H214" s="4">
        <v>0</v>
      </c>
      <c r="I214" s="29" t="str">
        <f t="shared" si="254"/>
        <v>gallon</v>
      </c>
      <c r="J214" s="29" t="s">
        <v>136</v>
      </c>
      <c r="K214" s="30">
        <f t="shared" si="255"/>
        <v>3.5</v>
      </c>
      <c r="L214" s="10" t="str">
        <f t="shared" si="258"/>
        <v>/ gallon</v>
      </c>
      <c r="M214" s="83">
        <v>0</v>
      </c>
      <c r="N214" s="29">
        <f t="shared" si="256"/>
        <v>0</v>
      </c>
      <c r="O214" s="29">
        <f t="shared" si="257"/>
        <v>10</v>
      </c>
      <c r="P214" s="83" t="s">
        <v>75</v>
      </c>
      <c r="Q214" s="83" t="s">
        <v>75</v>
      </c>
      <c r="R214" s="83">
        <v>0</v>
      </c>
      <c r="S214" s="61">
        <f t="shared" si="202"/>
        <v>0</v>
      </c>
      <c r="T214" s="61"/>
      <c r="U214" s="61"/>
      <c r="V214" s="61"/>
      <c r="W214" s="322"/>
    </row>
    <row r="215" spans="1:23" ht="18" customHeight="1" x14ac:dyDescent="0.4">
      <c r="A215" s="27" t="s">
        <v>271</v>
      </c>
      <c r="B215" s="19">
        <f t="shared" si="250"/>
        <v>0</v>
      </c>
      <c r="C215" s="9"/>
      <c r="D215" s="20">
        <f t="shared" si="251"/>
        <v>0</v>
      </c>
      <c r="E215" s="9"/>
      <c r="F215" s="81">
        <f t="shared" si="252"/>
        <v>0</v>
      </c>
      <c r="G215" s="71">
        <f t="shared" si="253"/>
        <v>0</v>
      </c>
      <c r="H215" s="4">
        <v>0</v>
      </c>
      <c r="I215" s="29" t="str">
        <f t="shared" si="254"/>
        <v>gallon</v>
      </c>
      <c r="J215" s="29" t="s">
        <v>136</v>
      </c>
      <c r="K215" s="30">
        <f t="shared" si="255"/>
        <v>3.5</v>
      </c>
      <c r="L215" s="10" t="str">
        <f t="shared" si="258"/>
        <v>/ gallon</v>
      </c>
      <c r="M215" s="83">
        <v>0</v>
      </c>
      <c r="N215" s="29">
        <f t="shared" si="256"/>
        <v>0</v>
      </c>
      <c r="O215" s="29">
        <f t="shared" si="257"/>
        <v>10</v>
      </c>
      <c r="P215" s="83" t="s">
        <v>75</v>
      </c>
      <c r="Q215" s="83" t="s">
        <v>75</v>
      </c>
      <c r="R215" s="83">
        <v>0</v>
      </c>
      <c r="S215" s="61">
        <f t="shared" si="202"/>
        <v>0</v>
      </c>
      <c r="T215" s="61"/>
      <c r="U215" s="61"/>
      <c r="V215" s="61"/>
      <c r="W215" s="322"/>
    </row>
    <row r="216" spans="1:23" ht="18" customHeight="1" x14ac:dyDescent="0.4">
      <c r="A216" s="27" t="s">
        <v>272</v>
      </c>
      <c r="B216" s="19">
        <f t="shared" si="250"/>
        <v>0</v>
      </c>
      <c r="C216" s="9"/>
      <c r="D216" s="20">
        <f t="shared" si="251"/>
        <v>0</v>
      </c>
      <c r="E216" s="9"/>
      <c r="F216" s="81">
        <f t="shared" si="252"/>
        <v>0</v>
      </c>
      <c r="G216" s="71">
        <f t="shared" si="253"/>
        <v>0</v>
      </c>
      <c r="H216" s="4">
        <v>0</v>
      </c>
      <c r="I216" s="29" t="str">
        <f t="shared" si="254"/>
        <v>gallon</v>
      </c>
      <c r="J216" s="29" t="s">
        <v>136</v>
      </c>
      <c r="K216" s="30">
        <f t="shared" si="255"/>
        <v>3.5</v>
      </c>
      <c r="L216" s="10" t="str">
        <f t="shared" si="258"/>
        <v>/ gallon</v>
      </c>
      <c r="M216" s="83">
        <v>0</v>
      </c>
      <c r="N216" s="29">
        <f t="shared" si="256"/>
        <v>0</v>
      </c>
      <c r="O216" s="29">
        <f t="shared" si="257"/>
        <v>10</v>
      </c>
      <c r="P216" s="83" t="s">
        <v>75</v>
      </c>
      <c r="Q216" s="83" t="s">
        <v>75</v>
      </c>
      <c r="R216" s="83">
        <v>0</v>
      </c>
      <c r="S216" s="61">
        <f t="shared" si="202"/>
        <v>0</v>
      </c>
      <c r="T216" s="61"/>
      <c r="U216" s="61"/>
      <c r="V216" s="61"/>
      <c r="W216" s="322"/>
    </row>
    <row r="217" spans="1:23" ht="18" customHeight="1" x14ac:dyDescent="0.4">
      <c r="A217" s="27" t="s">
        <v>273</v>
      </c>
      <c r="B217" s="19">
        <f t="shared" si="250"/>
        <v>0</v>
      </c>
      <c r="C217" s="9"/>
      <c r="D217" s="20">
        <f t="shared" si="251"/>
        <v>0</v>
      </c>
      <c r="E217" s="9"/>
      <c r="F217" s="81">
        <f t="shared" si="252"/>
        <v>0</v>
      </c>
      <c r="G217" s="71">
        <f t="shared" si="253"/>
        <v>0</v>
      </c>
      <c r="H217" s="4">
        <v>0</v>
      </c>
      <c r="I217" s="29" t="str">
        <f t="shared" si="254"/>
        <v>gallon</v>
      </c>
      <c r="J217" s="29" t="s">
        <v>136</v>
      </c>
      <c r="K217" s="30">
        <f t="shared" si="255"/>
        <v>3.5</v>
      </c>
      <c r="L217" s="10" t="str">
        <f t="shared" si="258"/>
        <v>/ gallon</v>
      </c>
      <c r="M217" s="83">
        <v>0</v>
      </c>
      <c r="N217" s="29">
        <f t="shared" si="256"/>
        <v>0</v>
      </c>
      <c r="O217" s="29">
        <f t="shared" si="257"/>
        <v>10</v>
      </c>
      <c r="P217" s="83" t="s">
        <v>75</v>
      </c>
      <c r="Q217" s="83" t="s">
        <v>75</v>
      </c>
      <c r="R217" s="83">
        <v>0</v>
      </c>
      <c r="S217" s="61">
        <f t="shared" si="202"/>
        <v>0</v>
      </c>
      <c r="T217" s="61"/>
      <c r="U217" s="61"/>
      <c r="V217" s="61"/>
      <c r="W217" s="322"/>
    </row>
    <row r="218" spans="1:23" ht="18" customHeight="1" x14ac:dyDescent="0.4">
      <c r="A218" s="27" t="s">
        <v>274</v>
      </c>
      <c r="B218" s="19">
        <f t="shared" si="250"/>
        <v>0</v>
      </c>
      <c r="C218" s="9"/>
      <c r="D218" s="20">
        <f t="shared" si="251"/>
        <v>0</v>
      </c>
      <c r="E218" s="9"/>
      <c r="F218" s="81">
        <f t="shared" si="252"/>
        <v>0</v>
      </c>
      <c r="G218" s="71">
        <f t="shared" si="253"/>
        <v>0</v>
      </c>
      <c r="H218" s="4">
        <v>0</v>
      </c>
      <c r="I218" s="29" t="str">
        <f t="shared" si="254"/>
        <v>gallon</v>
      </c>
      <c r="J218" s="29" t="s">
        <v>136</v>
      </c>
      <c r="K218" s="30">
        <f t="shared" si="255"/>
        <v>3.5</v>
      </c>
      <c r="L218" s="10" t="str">
        <f t="shared" si="258"/>
        <v>/ gallon</v>
      </c>
      <c r="M218" s="83">
        <v>0</v>
      </c>
      <c r="N218" s="29">
        <f t="shared" si="256"/>
        <v>0</v>
      </c>
      <c r="O218" s="29">
        <f t="shared" si="257"/>
        <v>10</v>
      </c>
      <c r="P218" s="83" t="s">
        <v>75</v>
      </c>
      <c r="Q218" s="83" t="s">
        <v>75</v>
      </c>
      <c r="R218" s="83">
        <v>0</v>
      </c>
      <c r="S218" s="61">
        <f t="shared" si="202"/>
        <v>0</v>
      </c>
      <c r="T218" s="61"/>
      <c r="U218" s="61"/>
      <c r="V218" s="61"/>
      <c r="W218" s="322"/>
    </row>
    <row r="219" spans="1:23" ht="18" customHeight="1" x14ac:dyDescent="0.4">
      <c r="A219" s="27" t="s">
        <v>275</v>
      </c>
      <c r="B219" s="19">
        <f t="shared" si="250"/>
        <v>0</v>
      </c>
      <c r="C219" s="9"/>
      <c r="D219" s="20">
        <f t="shared" si="251"/>
        <v>0</v>
      </c>
      <c r="E219" s="9"/>
      <c r="F219" s="81">
        <f t="shared" si="252"/>
        <v>0</v>
      </c>
      <c r="G219" s="71">
        <f t="shared" si="253"/>
        <v>0</v>
      </c>
      <c r="H219" s="4">
        <v>0</v>
      </c>
      <c r="I219" s="29" t="str">
        <f t="shared" si="254"/>
        <v>gallon</v>
      </c>
      <c r="J219" s="29" t="s">
        <v>136</v>
      </c>
      <c r="K219" s="30">
        <f t="shared" si="255"/>
        <v>3.5</v>
      </c>
      <c r="L219" s="10" t="str">
        <f>CONCATENATE("/ ",I219)</f>
        <v>/ gallon</v>
      </c>
      <c r="M219" s="83">
        <v>0</v>
      </c>
      <c r="N219" s="29">
        <f t="shared" si="256"/>
        <v>0</v>
      </c>
      <c r="O219" s="29">
        <f t="shared" si="257"/>
        <v>10</v>
      </c>
      <c r="P219" s="83" t="s">
        <v>75</v>
      </c>
      <c r="Q219" s="83" t="s">
        <v>75</v>
      </c>
      <c r="R219" s="83">
        <v>0</v>
      </c>
      <c r="S219" s="61">
        <f t="shared" si="202"/>
        <v>0</v>
      </c>
      <c r="T219" s="61"/>
      <c r="U219" s="61"/>
      <c r="V219" s="61"/>
      <c r="W219" s="322"/>
    </row>
    <row r="220" spans="1:23" ht="18" customHeight="1" x14ac:dyDescent="0.4">
      <c r="A220" s="2" t="s">
        <v>87</v>
      </c>
      <c r="B220" s="19">
        <f t="shared" si="250"/>
        <v>0</v>
      </c>
      <c r="C220" s="9"/>
      <c r="D220" s="20">
        <f t="shared" si="251"/>
        <v>0</v>
      </c>
      <c r="E220" s="9"/>
      <c r="F220" s="81">
        <f t="shared" si="252"/>
        <v>0</v>
      </c>
      <c r="G220" s="71">
        <f t="shared" si="253"/>
        <v>0</v>
      </c>
      <c r="H220" s="4">
        <v>0</v>
      </c>
      <c r="I220" s="29" t="str">
        <f t="shared" si="254"/>
        <v>gallon</v>
      </c>
      <c r="J220" s="29" t="s">
        <v>136</v>
      </c>
      <c r="K220" s="30">
        <f t="shared" si="255"/>
        <v>3.5</v>
      </c>
      <c r="L220" s="10" t="str">
        <f>CONCATENATE("/ ",I220)</f>
        <v>/ gallon</v>
      </c>
      <c r="M220" s="83">
        <v>0</v>
      </c>
      <c r="N220" s="29">
        <f t="shared" si="256"/>
        <v>0</v>
      </c>
      <c r="O220" s="29">
        <f t="shared" si="257"/>
        <v>10</v>
      </c>
      <c r="P220" s="83" t="s">
        <v>75</v>
      </c>
      <c r="Q220" s="83" t="s">
        <v>75</v>
      </c>
      <c r="R220" s="83">
        <v>0</v>
      </c>
      <c r="S220" s="61">
        <f t="shared" si="202"/>
        <v>0</v>
      </c>
      <c r="T220" s="61"/>
      <c r="U220" s="61"/>
      <c r="V220" s="61"/>
      <c r="W220" s="322"/>
    </row>
    <row r="221" spans="1:23" ht="18" customHeight="1" x14ac:dyDescent="0.4">
      <c r="A221" s="54" t="s">
        <v>732</v>
      </c>
      <c r="B221" s="19"/>
      <c r="C221" s="9"/>
      <c r="D221" s="20"/>
      <c r="E221" s="9"/>
      <c r="F221" s="21"/>
      <c r="G221" s="71"/>
      <c r="H221" s="13" t="s">
        <v>232</v>
      </c>
      <c r="I221" s="13" t="s">
        <v>143</v>
      </c>
      <c r="J221" s="13" t="s">
        <v>82</v>
      </c>
      <c r="K221" s="13" t="s">
        <v>172</v>
      </c>
      <c r="L221" s="18" t="s">
        <v>147</v>
      </c>
      <c r="M221" s="13" t="s">
        <v>66</v>
      </c>
      <c r="N221" s="13" t="s">
        <v>82</v>
      </c>
      <c r="O221" s="13" t="s">
        <v>79</v>
      </c>
      <c r="P221" s="13" t="s">
        <v>73</v>
      </c>
      <c r="Q221" s="13" t="s">
        <v>74</v>
      </c>
      <c r="R221" s="13" t="s">
        <v>345</v>
      </c>
      <c r="S221" s="13" t="s">
        <v>342</v>
      </c>
      <c r="T221" s="11"/>
      <c r="U221" s="187"/>
      <c r="V221" s="187"/>
      <c r="W221" s="314"/>
    </row>
    <row r="222" spans="1:23" ht="18" customHeight="1" x14ac:dyDescent="0.4">
      <c r="A222" s="158" t="s">
        <v>262</v>
      </c>
      <c r="B222" s="159">
        <f>(H222*K222)/O222</f>
        <v>0</v>
      </c>
      <c r="C222" s="9"/>
      <c r="D222" s="20">
        <f t="shared" ref="D222:D260" si="259">IF($D$5=0,B222/$H$5,B222/$J$14)</f>
        <v>0</v>
      </c>
      <c r="E222" s="9"/>
      <c r="F222" s="81">
        <f t="shared" ref="F222:F260" si="260">IF($F$5=0,(B222/($H$6/1000)),B222/$M$416)</f>
        <v>0</v>
      </c>
      <c r="G222" s="71">
        <f t="shared" ref="G222:G260" si="261">B222/$B$313</f>
        <v>0</v>
      </c>
      <c r="H222" s="4">
        <v>0</v>
      </c>
      <c r="I222" s="29" t="str">
        <f t="shared" si="254"/>
        <v>gallon</v>
      </c>
      <c r="J222" s="29" t="s">
        <v>136</v>
      </c>
      <c r="K222" s="30">
        <f t="shared" si="255"/>
        <v>3.5</v>
      </c>
      <c r="L222" s="10" t="str">
        <f t="shared" ref="L222:L232" si="262">CONCATENATE("/ ",I222)</f>
        <v>/ gallon</v>
      </c>
      <c r="M222" s="29">
        <f>T233/T235</f>
        <v>0.625</v>
      </c>
      <c r="N222" s="29">
        <f t="shared" ref="N222:N231" si="263">J101</f>
        <v>0</v>
      </c>
      <c r="O222" s="29">
        <f t="shared" ref="O222:O231" si="264">O101</f>
        <v>10</v>
      </c>
      <c r="P222" s="83" t="s">
        <v>75</v>
      </c>
      <c r="Q222" s="83" t="s">
        <v>75</v>
      </c>
      <c r="R222" s="62">
        <f>M222*W4</f>
        <v>4.3044077134986227E-3</v>
      </c>
      <c r="S222" s="62">
        <f t="shared" ref="S222:S234" si="265">R222</f>
        <v>4.3044077134986227E-3</v>
      </c>
      <c r="T222" s="11"/>
      <c r="U222" s="62"/>
      <c r="V222" s="62"/>
      <c r="W222" s="323"/>
    </row>
    <row r="223" spans="1:23" ht="18" customHeight="1" x14ac:dyDescent="0.4">
      <c r="A223" s="185" t="s">
        <v>432</v>
      </c>
      <c r="B223" s="199">
        <f t="shared" ref="B223:B228" si="266">(H223*K223)/O223</f>
        <v>0</v>
      </c>
      <c r="C223" s="200"/>
      <c r="D223" s="201">
        <f t="shared" ref="D223:D226" si="267">IF($D$5=0,B223/$H$5,B223/$J$14)</f>
        <v>0</v>
      </c>
      <c r="E223" s="200"/>
      <c r="F223" s="201">
        <f t="shared" si="260"/>
        <v>0</v>
      </c>
      <c r="G223" s="310">
        <f t="shared" si="261"/>
        <v>0</v>
      </c>
      <c r="H223" s="223">
        <f>M223*$T$11*N223</f>
        <v>0</v>
      </c>
      <c r="I223" s="204" t="str">
        <f t="shared" si="254"/>
        <v>gallon</v>
      </c>
      <c r="J223" s="204" t="s">
        <v>136</v>
      </c>
      <c r="K223" s="193">
        <f t="shared" si="255"/>
        <v>3.5</v>
      </c>
      <c r="L223" s="213" t="str">
        <f t="shared" si="262"/>
        <v>/ gallon</v>
      </c>
      <c r="M223" s="83">
        <v>0</v>
      </c>
      <c r="N223" s="204">
        <f t="shared" si="263"/>
        <v>3</v>
      </c>
      <c r="O223" s="204">
        <f t="shared" si="264"/>
        <v>10</v>
      </c>
      <c r="P223" s="83" t="s">
        <v>75</v>
      </c>
      <c r="Q223" s="83" t="s">
        <v>75</v>
      </c>
      <c r="R223" s="83">
        <v>0</v>
      </c>
      <c r="S223" s="222">
        <f t="shared" ref="S223:S226" si="268">R223</f>
        <v>0</v>
      </c>
      <c r="T223" s="13" t="s">
        <v>294</v>
      </c>
      <c r="U223" s="60"/>
      <c r="V223" s="60"/>
      <c r="W223" s="321"/>
    </row>
    <row r="224" spans="1:23" ht="18" customHeight="1" x14ac:dyDescent="0.4">
      <c r="A224" s="185" t="s">
        <v>488</v>
      </c>
      <c r="B224" s="205">
        <f t="shared" ref="B224:B226" si="269">(H224*K224)/O224</f>
        <v>0</v>
      </c>
      <c r="C224" s="200"/>
      <c r="D224" s="201">
        <f t="shared" si="267"/>
        <v>0</v>
      </c>
      <c r="E224" s="200"/>
      <c r="F224" s="201">
        <f t="shared" si="260"/>
        <v>0</v>
      </c>
      <c r="G224" s="242">
        <f t="shared" si="261"/>
        <v>0</v>
      </c>
      <c r="H224" s="222">
        <f>M224*$AE$15*N224</f>
        <v>0</v>
      </c>
      <c r="I224" s="204" t="str">
        <f t="shared" si="254"/>
        <v>gallon</v>
      </c>
      <c r="J224" s="204" t="s">
        <v>136</v>
      </c>
      <c r="K224" s="193">
        <f t="shared" si="255"/>
        <v>3.5</v>
      </c>
      <c r="L224" s="213" t="str">
        <f t="shared" ref="L224:L226" si="270">CONCATENATE("/ ",I224)</f>
        <v>/ gallon</v>
      </c>
      <c r="M224" s="222">
        <f t="shared" ref="M224:M226" si="271">S224/$AE$4</f>
        <v>33.244444444444447</v>
      </c>
      <c r="N224" s="204">
        <f t="shared" si="263"/>
        <v>1</v>
      </c>
      <c r="O224" s="204">
        <f t="shared" si="264"/>
        <v>10</v>
      </c>
      <c r="P224" s="83" t="s">
        <v>75</v>
      </c>
      <c r="Q224" s="83" t="s">
        <v>75</v>
      </c>
      <c r="R224" s="84">
        <f>2*($R$228/$R$229)</f>
        <v>3.7777777777777777</v>
      </c>
      <c r="S224" s="222">
        <f t="shared" si="268"/>
        <v>3.7777777777777777</v>
      </c>
      <c r="T224" s="83" t="s">
        <v>75</v>
      </c>
      <c r="U224" s="60"/>
      <c r="V224" s="60"/>
      <c r="W224" s="321"/>
    </row>
    <row r="225" spans="1:23" ht="18" customHeight="1" x14ac:dyDescent="0.4">
      <c r="A225" s="185" t="s">
        <v>491</v>
      </c>
      <c r="B225" s="205">
        <f t="shared" ref="B225" si="272">(H225*K225)/O225</f>
        <v>0</v>
      </c>
      <c r="C225" s="200"/>
      <c r="D225" s="201">
        <f t="shared" ref="D225" si="273">IF($D$5=0,B225/$H$5,B225/$J$14)</f>
        <v>0</v>
      </c>
      <c r="E225" s="200"/>
      <c r="F225" s="201">
        <f t="shared" si="260"/>
        <v>0</v>
      </c>
      <c r="G225" s="242">
        <f t="shared" si="261"/>
        <v>0</v>
      </c>
      <c r="H225" s="222">
        <f>M225*$AE$15*N225</f>
        <v>0</v>
      </c>
      <c r="I225" s="204" t="str">
        <f t="shared" si="254"/>
        <v>gallon</v>
      </c>
      <c r="J225" s="204" t="s">
        <v>136</v>
      </c>
      <c r="K225" s="193">
        <f t="shared" si="255"/>
        <v>3.5</v>
      </c>
      <c r="L225" s="213" t="str">
        <f t="shared" ref="L225" si="274">CONCATENATE("/ ",I225)</f>
        <v>/ gallon</v>
      </c>
      <c r="M225" s="222">
        <f t="shared" ref="M225" si="275">S225/$AE$4</f>
        <v>17.600000000000001</v>
      </c>
      <c r="N225" s="204">
        <f t="shared" si="263"/>
        <v>2</v>
      </c>
      <c r="O225" s="204">
        <f t="shared" si="264"/>
        <v>10</v>
      </c>
      <c r="P225" s="83" t="s">
        <v>75</v>
      </c>
      <c r="Q225" s="83" t="s">
        <v>75</v>
      </c>
      <c r="R225" s="84">
        <f>2</f>
        <v>2</v>
      </c>
      <c r="S225" s="222">
        <f t="shared" ref="S225" si="276">R225</f>
        <v>2</v>
      </c>
      <c r="T225" s="83" t="s">
        <v>75</v>
      </c>
      <c r="U225" s="60"/>
      <c r="V225" s="60"/>
      <c r="W225" s="321"/>
    </row>
    <row r="226" spans="1:23" ht="18" customHeight="1" x14ac:dyDescent="0.4">
      <c r="A226" s="185" t="s">
        <v>489</v>
      </c>
      <c r="B226" s="205">
        <f t="shared" si="269"/>
        <v>0</v>
      </c>
      <c r="C226" s="200"/>
      <c r="D226" s="201">
        <f t="shared" si="267"/>
        <v>0</v>
      </c>
      <c r="E226" s="200"/>
      <c r="F226" s="201">
        <f t="shared" si="260"/>
        <v>0</v>
      </c>
      <c r="G226" s="242">
        <f t="shared" si="261"/>
        <v>0</v>
      </c>
      <c r="H226" s="222">
        <f>M226*$AE$16*N226</f>
        <v>0</v>
      </c>
      <c r="I226" s="204" t="str">
        <f t="shared" si="254"/>
        <v>gallon</v>
      </c>
      <c r="J226" s="204" t="s">
        <v>136</v>
      </c>
      <c r="K226" s="193">
        <f t="shared" si="255"/>
        <v>3.5</v>
      </c>
      <c r="L226" s="213" t="str">
        <f t="shared" si="270"/>
        <v>/ gallon</v>
      </c>
      <c r="M226" s="222">
        <f t="shared" si="271"/>
        <v>26.595555555555556</v>
      </c>
      <c r="N226" s="204">
        <f t="shared" si="263"/>
        <v>1</v>
      </c>
      <c r="O226" s="204">
        <f t="shared" si="264"/>
        <v>10</v>
      </c>
      <c r="P226" s="83" t="s">
        <v>75</v>
      </c>
      <c r="Q226" s="83" t="s">
        <v>75</v>
      </c>
      <c r="R226" s="84">
        <f>AVERAGE(1.2,2)*($R$228/$R$229)</f>
        <v>3.0222222222222221</v>
      </c>
      <c r="S226" s="222">
        <f t="shared" si="268"/>
        <v>3.0222222222222221</v>
      </c>
      <c r="T226" s="83" t="s">
        <v>75</v>
      </c>
      <c r="U226" s="60"/>
      <c r="V226" s="60"/>
      <c r="W226" s="321"/>
    </row>
    <row r="227" spans="1:23" ht="18" customHeight="1" x14ac:dyDescent="0.4">
      <c r="A227" s="185" t="s">
        <v>492</v>
      </c>
      <c r="B227" s="205">
        <f t="shared" ref="B227" si="277">(H227*K227)/O227</f>
        <v>0</v>
      </c>
      <c r="C227" s="200"/>
      <c r="D227" s="201">
        <f t="shared" ref="D227" si="278">IF($D$5=0,B227/$H$5,B227/$J$14)</f>
        <v>0</v>
      </c>
      <c r="E227" s="200"/>
      <c r="F227" s="201">
        <f t="shared" si="260"/>
        <v>0</v>
      </c>
      <c r="G227" s="242">
        <f t="shared" si="261"/>
        <v>0</v>
      </c>
      <c r="H227" s="222">
        <f>M227*$AE$16*N227</f>
        <v>0</v>
      </c>
      <c r="I227" s="204" t="str">
        <f t="shared" si="254"/>
        <v>gallon</v>
      </c>
      <c r="J227" s="204" t="s">
        <v>136</v>
      </c>
      <c r="K227" s="193">
        <f t="shared" si="255"/>
        <v>3.5</v>
      </c>
      <c r="L227" s="213" t="str">
        <f t="shared" ref="L227" si="279">CONCATENATE("/ ",I227)</f>
        <v>/ gallon</v>
      </c>
      <c r="M227" s="222">
        <f t="shared" ref="M227" si="280">S227/$AE$4</f>
        <v>14.080000000000002</v>
      </c>
      <c r="N227" s="204">
        <f t="shared" si="263"/>
        <v>2</v>
      </c>
      <c r="O227" s="204">
        <f t="shared" si="264"/>
        <v>10</v>
      </c>
      <c r="P227" s="83" t="s">
        <v>75</v>
      </c>
      <c r="Q227" s="83" t="s">
        <v>75</v>
      </c>
      <c r="R227" s="84">
        <f>AVERAGE(1.2,2)</f>
        <v>1.6</v>
      </c>
      <c r="S227" s="222">
        <f t="shared" ref="S227" si="281">R227</f>
        <v>1.6</v>
      </c>
      <c r="T227" s="83" t="s">
        <v>75</v>
      </c>
      <c r="U227" s="60"/>
      <c r="V227" s="60"/>
      <c r="W227" s="321"/>
    </row>
    <row r="228" spans="1:23" ht="18" customHeight="1" x14ac:dyDescent="0.4">
      <c r="A228" s="185" t="s">
        <v>276</v>
      </c>
      <c r="B228" s="205">
        <f t="shared" si="266"/>
        <v>0.23506172839506112</v>
      </c>
      <c r="C228" s="200"/>
      <c r="D228" s="201">
        <f t="shared" ref="D228" si="282">IF($D$5=0,B228/$H$5,B228/$J$14)</f>
        <v>1.4300682805710705</v>
      </c>
      <c r="E228" s="200"/>
      <c r="F228" s="201">
        <f t="shared" si="260"/>
        <v>3.282985033450575E-2</v>
      </c>
      <c r="G228" s="242">
        <f t="shared" si="261"/>
        <v>4.7373865541347097E-4</v>
      </c>
      <c r="H228" s="222">
        <f>M228*$AE$17*N228</f>
        <v>0.67160493827160317</v>
      </c>
      <c r="I228" s="204" t="str">
        <f t="shared" si="254"/>
        <v>gallon</v>
      </c>
      <c r="J228" s="204" t="s">
        <v>136</v>
      </c>
      <c r="K228" s="193">
        <f t="shared" si="255"/>
        <v>3.5</v>
      </c>
      <c r="L228" s="213" t="str">
        <f t="shared" si="262"/>
        <v>/ gallon</v>
      </c>
      <c r="M228" s="222">
        <f>S228/$AE$4</f>
        <v>19.946666666666669</v>
      </c>
      <c r="N228" s="204">
        <f t="shared" si="263"/>
        <v>1</v>
      </c>
      <c r="O228" s="204">
        <f t="shared" si="264"/>
        <v>10</v>
      </c>
      <c r="P228" s="83" t="s">
        <v>75</v>
      </c>
      <c r="Q228" s="83" t="s">
        <v>75</v>
      </c>
      <c r="R228" s="84">
        <f>((1.6)*($R$109/12))</f>
        <v>2.2666666666666671</v>
      </c>
      <c r="S228" s="222">
        <f t="shared" ref="S228" si="283">R228</f>
        <v>2.2666666666666671</v>
      </c>
      <c r="T228" s="83">
        <f>AVERAGE(5,10)</f>
        <v>7.5</v>
      </c>
      <c r="U228" s="60"/>
      <c r="V228" s="60"/>
      <c r="W228" s="321"/>
    </row>
    <row r="229" spans="1:23" ht="18" customHeight="1" x14ac:dyDescent="0.4">
      <c r="A229" s="185" t="s">
        <v>490</v>
      </c>
      <c r="B229" s="205">
        <f t="shared" ref="B229" si="284">(H229*K229)/O229</f>
        <v>0.24888888888888827</v>
      </c>
      <c r="C229" s="200"/>
      <c r="D229" s="201">
        <f t="shared" ref="D229" si="285">IF($D$5=0,B229/$H$5,B229/$J$14)</f>
        <v>1.5141899441340749</v>
      </c>
      <c r="E229" s="200"/>
      <c r="F229" s="201">
        <f t="shared" si="260"/>
        <v>3.4761018001241387E-2</v>
      </c>
      <c r="G229" s="242">
        <f t="shared" si="261"/>
        <v>5.016056351436752E-4</v>
      </c>
      <c r="H229" s="222">
        <f>M229*$AE$17*N229</f>
        <v>0.71111111111110936</v>
      </c>
      <c r="I229" s="204" t="str">
        <f t="shared" si="254"/>
        <v>gallon</v>
      </c>
      <c r="J229" s="204" t="s">
        <v>136</v>
      </c>
      <c r="K229" s="193">
        <f t="shared" si="255"/>
        <v>3.5</v>
      </c>
      <c r="L229" s="213" t="str">
        <f t="shared" ref="L229" si="286">CONCATENATE("/ ",I229)</f>
        <v>/ gallon</v>
      </c>
      <c r="M229" s="222">
        <f>S229/$AE$4</f>
        <v>10.560000000000002</v>
      </c>
      <c r="N229" s="204">
        <f t="shared" si="263"/>
        <v>2</v>
      </c>
      <c r="O229" s="204">
        <f t="shared" si="264"/>
        <v>10</v>
      </c>
      <c r="P229" s="83" t="s">
        <v>75</v>
      </c>
      <c r="Q229" s="83" t="s">
        <v>75</v>
      </c>
      <c r="R229" s="84">
        <f>((1.6)*($R$113/12))</f>
        <v>1.2000000000000002</v>
      </c>
      <c r="S229" s="222">
        <f t="shared" ref="S229" si="287">R229</f>
        <v>1.2000000000000002</v>
      </c>
      <c r="T229" s="83">
        <f>AVERAGE(5,10)</f>
        <v>7.5</v>
      </c>
      <c r="U229" s="60"/>
      <c r="V229" s="60"/>
      <c r="W229" s="321"/>
    </row>
    <row r="230" spans="1:23" ht="18" customHeight="1" x14ac:dyDescent="0.4">
      <c r="A230" s="158" t="s">
        <v>276</v>
      </c>
      <c r="B230" s="159">
        <f>(H230*K230)/O230</f>
        <v>0</v>
      </c>
      <c r="C230" s="9"/>
      <c r="D230" s="20">
        <f t="shared" si="259"/>
        <v>0</v>
      </c>
      <c r="E230" s="9"/>
      <c r="F230" s="81">
        <f t="shared" si="260"/>
        <v>0</v>
      </c>
      <c r="G230" s="71">
        <f t="shared" si="261"/>
        <v>0</v>
      </c>
      <c r="H230" s="60">
        <f t="shared" ref="H230:H247" si="288">M230*(SUM($H$3:$H$4))*N230</f>
        <v>0</v>
      </c>
      <c r="I230" s="29" t="str">
        <f t="shared" si="254"/>
        <v>gallon</v>
      </c>
      <c r="J230" s="29" t="s">
        <v>136</v>
      </c>
      <c r="K230" s="30">
        <f t="shared" si="255"/>
        <v>3.5</v>
      </c>
      <c r="L230" s="10" t="str">
        <f t="shared" si="262"/>
        <v>/ gallon</v>
      </c>
      <c r="M230" s="60">
        <f>S230/$AE$4</f>
        <v>19.946666666666669</v>
      </c>
      <c r="N230" s="29">
        <f t="shared" si="263"/>
        <v>2</v>
      </c>
      <c r="O230" s="29">
        <f t="shared" si="264"/>
        <v>10</v>
      </c>
      <c r="P230" s="83" t="s">
        <v>75</v>
      </c>
      <c r="Q230" s="83" t="s">
        <v>75</v>
      </c>
      <c r="R230" s="84">
        <f>((1.6)*($R$109/12))</f>
        <v>2.2666666666666671</v>
      </c>
      <c r="S230" s="60">
        <f t="shared" si="265"/>
        <v>2.2666666666666671</v>
      </c>
      <c r="T230" s="13" t="s">
        <v>196</v>
      </c>
      <c r="U230" s="60"/>
      <c r="V230" s="60"/>
      <c r="W230" s="321"/>
    </row>
    <row r="231" spans="1:23" ht="18" customHeight="1" x14ac:dyDescent="0.4">
      <c r="A231" s="27" t="s">
        <v>277</v>
      </c>
      <c r="B231" s="19">
        <f t="shared" ref="B231" si="289">(H231*K231)/O231</f>
        <v>0</v>
      </c>
      <c r="C231" s="9"/>
      <c r="D231" s="20">
        <f t="shared" si="259"/>
        <v>0</v>
      </c>
      <c r="E231" s="9"/>
      <c r="F231" s="81">
        <f t="shared" si="260"/>
        <v>0</v>
      </c>
      <c r="G231" s="71">
        <f t="shared" si="261"/>
        <v>0</v>
      </c>
      <c r="H231" s="29">
        <f t="shared" si="288"/>
        <v>0</v>
      </c>
      <c r="I231" s="29" t="str">
        <f t="shared" si="254"/>
        <v>gallon</v>
      </c>
      <c r="J231" s="29" t="s">
        <v>136</v>
      </c>
      <c r="K231" s="30">
        <f t="shared" si="255"/>
        <v>3.5</v>
      </c>
      <c r="L231" s="10" t="str">
        <f t="shared" si="262"/>
        <v>/ gallon</v>
      </c>
      <c r="M231" s="83">
        <v>0</v>
      </c>
      <c r="N231" s="29">
        <f t="shared" si="263"/>
        <v>0</v>
      </c>
      <c r="O231" s="29">
        <f t="shared" si="264"/>
        <v>10</v>
      </c>
      <c r="P231" s="83" t="s">
        <v>75</v>
      </c>
      <c r="Q231" s="83" t="s">
        <v>75</v>
      </c>
      <c r="R231" s="83">
        <v>0</v>
      </c>
      <c r="S231" s="61">
        <f t="shared" si="265"/>
        <v>0</v>
      </c>
      <c r="T231" s="83">
        <v>8</v>
      </c>
      <c r="U231" s="61"/>
      <c r="V231" s="61"/>
      <c r="W231" s="322"/>
    </row>
    <row r="232" spans="1:23" ht="18" customHeight="1" x14ac:dyDescent="0.4">
      <c r="A232" s="158" t="s">
        <v>265</v>
      </c>
      <c r="B232" s="159">
        <f>(H232*K232)/O232</f>
        <v>0</v>
      </c>
      <c r="C232" s="9"/>
      <c r="D232" s="20">
        <f t="shared" si="259"/>
        <v>0</v>
      </c>
      <c r="E232" s="9"/>
      <c r="F232" s="81">
        <f t="shared" si="260"/>
        <v>0</v>
      </c>
      <c r="G232" s="71">
        <f t="shared" si="261"/>
        <v>0</v>
      </c>
      <c r="H232" s="29">
        <f t="shared" si="288"/>
        <v>0</v>
      </c>
      <c r="I232" s="29" t="str">
        <f t="shared" si="254"/>
        <v>gallon</v>
      </c>
      <c r="J232" s="29" t="s">
        <v>136</v>
      </c>
      <c r="K232" s="30">
        <f t="shared" si="255"/>
        <v>3.5</v>
      </c>
      <c r="L232" s="10" t="str">
        <f t="shared" si="262"/>
        <v>/ gallon</v>
      </c>
      <c r="M232" s="60">
        <f>S232/$AE$4</f>
        <v>4.4000000000000004</v>
      </c>
      <c r="N232" s="29">
        <f>J112</f>
        <v>0</v>
      </c>
      <c r="O232" s="29">
        <f>O112</f>
        <v>10</v>
      </c>
      <c r="P232" s="83" t="s">
        <v>75</v>
      </c>
      <c r="Q232" s="83" t="s">
        <v>75</v>
      </c>
      <c r="R232" s="84">
        <f>0.5</f>
        <v>0.5</v>
      </c>
      <c r="S232" s="60">
        <f t="shared" si="265"/>
        <v>0.5</v>
      </c>
      <c r="T232" s="13" t="s">
        <v>295</v>
      </c>
      <c r="U232" s="60"/>
      <c r="V232" s="60"/>
      <c r="W232" s="321"/>
    </row>
    <row r="233" spans="1:23" ht="18" customHeight="1" x14ac:dyDescent="0.4">
      <c r="A233" s="27" t="s">
        <v>266</v>
      </c>
      <c r="B233" s="19">
        <f t="shared" ref="B233" si="290">(H233*K233)/O233</f>
        <v>0</v>
      </c>
      <c r="C233" s="9"/>
      <c r="D233" s="20">
        <f t="shared" si="259"/>
        <v>0</v>
      </c>
      <c r="E233" s="9"/>
      <c r="F233" s="81">
        <f t="shared" si="260"/>
        <v>0</v>
      </c>
      <c r="G233" s="71">
        <f t="shared" si="261"/>
        <v>0</v>
      </c>
      <c r="H233" s="29">
        <f t="shared" si="288"/>
        <v>0</v>
      </c>
      <c r="I233" s="29" t="str">
        <f t="shared" si="254"/>
        <v>gallon</v>
      </c>
      <c r="J233" s="29" t="s">
        <v>136</v>
      </c>
      <c r="K233" s="30">
        <f t="shared" si="255"/>
        <v>3.5</v>
      </c>
      <c r="L233" s="10" t="str">
        <f t="shared" ref="L233:L260" si="291">CONCATENATE("/ ",I233)</f>
        <v>/ gallon</v>
      </c>
      <c r="M233" s="83">
        <v>0</v>
      </c>
      <c r="N233" s="29">
        <f>J111</f>
        <v>1</v>
      </c>
      <c r="O233" s="29">
        <f>O111</f>
        <v>10</v>
      </c>
      <c r="P233" s="83" t="s">
        <v>75</v>
      </c>
      <c r="Q233" s="83" t="s">
        <v>75</v>
      </c>
      <c r="R233" s="83">
        <v>0</v>
      </c>
      <c r="S233" s="61">
        <f t="shared" ref="S233:S293" si="292">R233</f>
        <v>0</v>
      </c>
      <c r="T233" s="29">
        <f>T228/T231</f>
        <v>0.9375</v>
      </c>
      <c r="U233" s="61"/>
      <c r="V233" s="61"/>
      <c r="W233" s="322"/>
    </row>
    <row r="234" spans="1:23" ht="18" customHeight="1" x14ac:dyDescent="0.4">
      <c r="A234" s="158" t="s">
        <v>278</v>
      </c>
      <c r="B234" s="159">
        <f>(H234*K234)/O234</f>
        <v>0</v>
      </c>
      <c r="C234" s="9"/>
      <c r="D234" s="20">
        <f t="shared" si="259"/>
        <v>0</v>
      </c>
      <c r="E234" s="9"/>
      <c r="F234" s="81">
        <f t="shared" si="260"/>
        <v>0</v>
      </c>
      <c r="G234" s="71">
        <f t="shared" si="261"/>
        <v>0</v>
      </c>
      <c r="H234" s="29">
        <f t="shared" si="288"/>
        <v>0</v>
      </c>
      <c r="I234" s="29" t="str">
        <f t="shared" si="254"/>
        <v>gallon</v>
      </c>
      <c r="J234" s="29" t="s">
        <v>136</v>
      </c>
      <c r="K234" s="30">
        <f t="shared" si="255"/>
        <v>3.5</v>
      </c>
      <c r="L234" s="10" t="str">
        <f t="shared" si="291"/>
        <v>/ gallon</v>
      </c>
      <c r="M234" s="60">
        <f>S234/$AE$4</f>
        <v>10.560000000000002</v>
      </c>
      <c r="N234" s="29">
        <f t="shared" ref="N234:N260" si="293">J113</f>
        <v>1</v>
      </c>
      <c r="O234" s="29">
        <f t="shared" ref="O234:O260" si="294">O113</f>
        <v>10</v>
      </c>
      <c r="P234" s="83" t="s">
        <v>75</v>
      </c>
      <c r="Q234" s="83" t="s">
        <v>75</v>
      </c>
      <c r="R234" s="84">
        <f>((1.6)*($R$113/12))</f>
        <v>1.2000000000000002</v>
      </c>
      <c r="S234" s="60">
        <f t="shared" si="265"/>
        <v>1.2000000000000002</v>
      </c>
      <c r="T234" s="13" t="s">
        <v>296</v>
      </c>
      <c r="U234" s="60"/>
      <c r="V234" s="60"/>
      <c r="W234" s="321"/>
    </row>
    <row r="235" spans="1:23" ht="18" customHeight="1" x14ac:dyDescent="0.4">
      <c r="A235" s="27" t="s">
        <v>279</v>
      </c>
      <c r="B235" s="19">
        <f t="shared" ref="B235:B237" si="295">(H235*K235)/O235</f>
        <v>0</v>
      </c>
      <c r="C235" s="9"/>
      <c r="D235" s="20">
        <f t="shared" si="259"/>
        <v>0</v>
      </c>
      <c r="E235" s="9"/>
      <c r="F235" s="81">
        <f t="shared" si="260"/>
        <v>0</v>
      </c>
      <c r="G235" s="71">
        <f t="shared" si="261"/>
        <v>0</v>
      </c>
      <c r="H235" s="29">
        <f t="shared" si="288"/>
        <v>0</v>
      </c>
      <c r="I235" s="29" t="str">
        <f t="shared" si="254"/>
        <v>gallon</v>
      </c>
      <c r="J235" s="29" t="s">
        <v>136</v>
      </c>
      <c r="K235" s="30">
        <f t="shared" si="255"/>
        <v>3.5</v>
      </c>
      <c r="L235" s="10" t="str">
        <f t="shared" si="291"/>
        <v>/ gallon</v>
      </c>
      <c r="M235" s="83">
        <v>0</v>
      </c>
      <c r="N235" s="29">
        <f t="shared" si="293"/>
        <v>0</v>
      </c>
      <c r="O235" s="29">
        <f t="shared" si="294"/>
        <v>10</v>
      </c>
      <c r="P235" s="83" t="s">
        <v>75</v>
      </c>
      <c r="Q235" s="83" t="s">
        <v>75</v>
      </c>
      <c r="R235" s="83">
        <v>0</v>
      </c>
      <c r="S235" s="61">
        <f t="shared" si="292"/>
        <v>0</v>
      </c>
      <c r="T235" s="83">
        <v>1.5</v>
      </c>
      <c r="U235" s="61"/>
      <c r="V235" s="61"/>
      <c r="W235" s="322"/>
    </row>
    <row r="236" spans="1:23" ht="18" customHeight="1" x14ac:dyDescent="0.4">
      <c r="A236" s="158" t="s">
        <v>269</v>
      </c>
      <c r="B236" s="19">
        <f t="shared" si="295"/>
        <v>0</v>
      </c>
      <c r="C236" s="9"/>
      <c r="D236" s="20">
        <f t="shared" si="259"/>
        <v>0</v>
      </c>
      <c r="E236" s="9"/>
      <c r="F236" s="81">
        <f t="shared" si="260"/>
        <v>0</v>
      </c>
      <c r="G236" s="71">
        <f t="shared" si="261"/>
        <v>0</v>
      </c>
      <c r="H236" s="29">
        <f t="shared" si="288"/>
        <v>0</v>
      </c>
      <c r="I236" s="29" t="str">
        <f t="shared" si="254"/>
        <v>gallon</v>
      </c>
      <c r="J236" s="29" t="s">
        <v>136</v>
      </c>
      <c r="K236" s="30">
        <f t="shared" si="255"/>
        <v>3.5</v>
      </c>
      <c r="L236" s="10" t="str">
        <f t="shared" si="291"/>
        <v>/ gallon</v>
      </c>
      <c r="M236" s="83">
        <v>0</v>
      </c>
      <c r="N236" s="29">
        <f t="shared" si="293"/>
        <v>1</v>
      </c>
      <c r="O236" s="29">
        <f t="shared" si="294"/>
        <v>10</v>
      </c>
      <c r="P236" s="83" t="s">
        <v>75</v>
      </c>
      <c r="Q236" s="83" t="s">
        <v>75</v>
      </c>
      <c r="R236" s="83">
        <v>0</v>
      </c>
      <c r="S236" s="61">
        <f t="shared" si="292"/>
        <v>0</v>
      </c>
      <c r="T236" s="23" t="s">
        <v>297</v>
      </c>
      <c r="U236" s="61"/>
      <c r="V236" s="61"/>
      <c r="W236" s="322"/>
    </row>
    <row r="237" spans="1:23" ht="18" customHeight="1" x14ac:dyDescent="0.4">
      <c r="A237" s="185" t="s">
        <v>433</v>
      </c>
      <c r="B237" s="199">
        <f t="shared" si="295"/>
        <v>0</v>
      </c>
      <c r="C237" s="200"/>
      <c r="D237" s="201">
        <f t="shared" ref="D237" si="296">IF($D$5=0,B237/$H$5,B237/$J$14)</f>
        <v>0</v>
      </c>
      <c r="E237" s="200"/>
      <c r="F237" s="201">
        <f t="shared" si="260"/>
        <v>0</v>
      </c>
      <c r="G237" s="202">
        <f t="shared" si="261"/>
        <v>0</v>
      </c>
      <c r="H237" s="204">
        <f>M237*$H$1*N237</f>
        <v>0</v>
      </c>
      <c r="I237" s="204" t="str">
        <f t="shared" si="254"/>
        <v>gallon</v>
      </c>
      <c r="J237" s="204" t="s">
        <v>136</v>
      </c>
      <c r="K237" s="193">
        <f t="shared" si="255"/>
        <v>3.5</v>
      </c>
      <c r="L237" s="213" t="str">
        <f t="shared" ref="L237" si="297">CONCATENATE("/ ",I237)</f>
        <v>/ gallon</v>
      </c>
      <c r="M237" s="83">
        <v>0</v>
      </c>
      <c r="N237" s="204">
        <f t="shared" si="293"/>
        <v>1</v>
      </c>
      <c r="O237" s="204">
        <f t="shared" si="294"/>
        <v>10</v>
      </c>
      <c r="P237" s="83" t="s">
        <v>75</v>
      </c>
      <c r="Q237" s="83" t="s">
        <v>75</v>
      </c>
      <c r="R237" s="83">
        <v>0</v>
      </c>
      <c r="S237" s="223">
        <f t="shared" ref="S237" si="298">R237</f>
        <v>0</v>
      </c>
      <c r="T237" s="61"/>
      <c r="U237" s="61"/>
      <c r="V237" s="61"/>
      <c r="W237" s="322"/>
    </row>
    <row r="238" spans="1:23" ht="18" customHeight="1" x14ac:dyDescent="0.4">
      <c r="A238" s="158" t="s">
        <v>270</v>
      </c>
      <c r="B238" s="19">
        <f t="shared" ref="B238:B239" si="299">(H238*K238)/O238</f>
        <v>0</v>
      </c>
      <c r="C238" s="9"/>
      <c r="D238" s="20">
        <f t="shared" si="259"/>
        <v>0</v>
      </c>
      <c r="E238" s="9"/>
      <c r="F238" s="81">
        <f t="shared" si="260"/>
        <v>0</v>
      </c>
      <c r="G238" s="71">
        <f t="shared" si="261"/>
        <v>0</v>
      </c>
      <c r="H238" s="29">
        <f t="shared" si="288"/>
        <v>0</v>
      </c>
      <c r="I238" s="29" t="str">
        <f t="shared" si="254"/>
        <v>gallon</v>
      </c>
      <c r="J238" s="29" t="s">
        <v>136</v>
      </c>
      <c r="K238" s="30">
        <f t="shared" si="255"/>
        <v>3.5</v>
      </c>
      <c r="L238" s="10" t="str">
        <f t="shared" si="291"/>
        <v>/ gallon</v>
      </c>
      <c r="M238" s="83">
        <v>0</v>
      </c>
      <c r="N238" s="29">
        <f t="shared" si="293"/>
        <v>0</v>
      </c>
      <c r="O238" s="29">
        <f t="shared" si="294"/>
        <v>10</v>
      </c>
      <c r="P238" s="83" t="s">
        <v>75</v>
      </c>
      <c r="Q238" s="83" t="s">
        <v>75</v>
      </c>
      <c r="R238" s="83">
        <v>0</v>
      </c>
      <c r="S238" s="61">
        <f t="shared" si="292"/>
        <v>0</v>
      </c>
      <c r="T238" s="61"/>
      <c r="U238" s="61"/>
      <c r="V238" s="61"/>
      <c r="W238" s="322"/>
    </row>
    <row r="239" spans="1:23" ht="18" customHeight="1" x14ac:dyDescent="0.4">
      <c r="A239" s="185" t="s">
        <v>447</v>
      </c>
      <c r="B239" s="199">
        <f t="shared" si="299"/>
        <v>0</v>
      </c>
      <c r="C239" s="200"/>
      <c r="D239" s="201">
        <f t="shared" ref="D239" si="300">IF($D$5=0,B239/$H$5,B239/$J$14)</f>
        <v>0</v>
      </c>
      <c r="E239" s="200"/>
      <c r="F239" s="201">
        <f t="shared" si="260"/>
        <v>0</v>
      </c>
      <c r="G239" s="202">
        <f t="shared" si="261"/>
        <v>0</v>
      </c>
      <c r="H239" s="204">
        <f>M239*$T$15*N239</f>
        <v>0</v>
      </c>
      <c r="I239" s="204" t="str">
        <f t="shared" si="254"/>
        <v>gallon</v>
      </c>
      <c r="J239" s="204" t="s">
        <v>136</v>
      </c>
      <c r="K239" s="193">
        <f t="shared" si="255"/>
        <v>3.5</v>
      </c>
      <c r="L239" s="213" t="str">
        <f t="shared" ref="L239" si="301">CONCATENATE("/ ",I239)</f>
        <v>/ gallon</v>
      </c>
      <c r="M239" s="83">
        <v>0</v>
      </c>
      <c r="N239" s="204">
        <f t="shared" si="293"/>
        <v>1</v>
      </c>
      <c r="O239" s="204">
        <f t="shared" si="294"/>
        <v>10</v>
      </c>
      <c r="P239" s="83" t="s">
        <v>75</v>
      </c>
      <c r="Q239" s="83" t="s">
        <v>75</v>
      </c>
      <c r="R239" s="83">
        <v>0</v>
      </c>
      <c r="S239" s="223">
        <f t="shared" ref="S239" si="302">R239</f>
        <v>0</v>
      </c>
      <c r="T239" s="61"/>
      <c r="U239" s="61"/>
      <c r="V239" s="61"/>
      <c r="W239" s="322"/>
    </row>
    <row r="240" spans="1:23" ht="18" customHeight="1" x14ac:dyDescent="0.4">
      <c r="A240" s="27" t="s">
        <v>280</v>
      </c>
      <c r="B240" s="19">
        <f t="shared" ref="B240:B264" si="303">(H240*K240)/O240</f>
        <v>0</v>
      </c>
      <c r="C240" s="9"/>
      <c r="D240" s="20">
        <f t="shared" si="259"/>
        <v>0</v>
      </c>
      <c r="E240" s="9"/>
      <c r="F240" s="81">
        <f t="shared" si="260"/>
        <v>0</v>
      </c>
      <c r="G240" s="71">
        <f t="shared" si="261"/>
        <v>0</v>
      </c>
      <c r="H240" s="29">
        <f t="shared" si="288"/>
        <v>0</v>
      </c>
      <c r="I240" s="29" t="str">
        <f t="shared" si="254"/>
        <v>gallon</v>
      </c>
      <c r="J240" s="29" t="s">
        <v>136</v>
      </c>
      <c r="K240" s="30">
        <f t="shared" si="255"/>
        <v>3.5</v>
      </c>
      <c r="L240" s="10" t="str">
        <f t="shared" si="291"/>
        <v>/ gallon</v>
      </c>
      <c r="M240" s="83">
        <v>0</v>
      </c>
      <c r="N240" s="29">
        <f t="shared" si="293"/>
        <v>0</v>
      </c>
      <c r="O240" s="29">
        <f t="shared" si="294"/>
        <v>10</v>
      </c>
      <c r="P240" s="83" t="s">
        <v>75</v>
      </c>
      <c r="Q240" s="83" t="s">
        <v>75</v>
      </c>
      <c r="R240" s="83">
        <v>0</v>
      </c>
      <c r="S240" s="61">
        <f t="shared" si="292"/>
        <v>0</v>
      </c>
      <c r="T240" s="61"/>
      <c r="U240" s="61"/>
      <c r="V240" s="61"/>
      <c r="W240" s="322"/>
    </row>
    <row r="241" spans="1:23" ht="18" customHeight="1" x14ac:dyDescent="0.4">
      <c r="A241" s="674" t="s">
        <v>281</v>
      </c>
      <c r="B241" s="19">
        <f t="shared" si="303"/>
        <v>0</v>
      </c>
      <c r="C241" s="9"/>
      <c r="D241" s="20">
        <f t="shared" si="259"/>
        <v>0</v>
      </c>
      <c r="E241" s="9"/>
      <c r="F241" s="81">
        <f t="shared" si="260"/>
        <v>0</v>
      </c>
      <c r="G241" s="71">
        <f t="shared" si="261"/>
        <v>0</v>
      </c>
      <c r="H241" s="29">
        <f t="shared" si="288"/>
        <v>0</v>
      </c>
      <c r="I241" s="29" t="str">
        <f t="shared" si="254"/>
        <v>gallon</v>
      </c>
      <c r="J241" s="29" t="s">
        <v>136</v>
      </c>
      <c r="K241" s="30">
        <f t="shared" si="255"/>
        <v>3.5</v>
      </c>
      <c r="L241" s="10" t="str">
        <f t="shared" si="291"/>
        <v>/ gallon</v>
      </c>
      <c r="M241" s="676">
        <v>0</v>
      </c>
      <c r="N241" s="29">
        <f t="shared" si="293"/>
        <v>0</v>
      </c>
      <c r="O241" s="29">
        <f t="shared" si="294"/>
        <v>10</v>
      </c>
      <c r="P241" s="83" t="s">
        <v>75</v>
      </c>
      <c r="Q241" s="83" t="s">
        <v>75</v>
      </c>
      <c r="R241" s="83">
        <v>0</v>
      </c>
      <c r="S241" s="61">
        <f t="shared" si="292"/>
        <v>0</v>
      </c>
      <c r="T241" s="61"/>
      <c r="U241" s="61"/>
      <c r="V241" s="61"/>
      <c r="W241" s="322"/>
    </row>
    <row r="242" spans="1:23" ht="18" customHeight="1" x14ac:dyDescent="0.4">
      <c r="A242" s="27" t="s">
        <v>282</v>
      </c>
      <c r="B242" s="19">
        <f t="shared" si="303"/>
        <v>0</v>
      </c>
      <c r="C242" s="9"/>
      <c r="D242" s="20">
        <f t="shared" si="259"/>
        <v>0</v>
      </c>
      <c r="E242" s="9"/>
      <c r="F242" s="81">
        <f t="shared" si="260"/>
        <v>0</v>
      </c>
      <c r="G242" s="71">
        <f t="shared" si="261"/>
        <v>0</v>
      </c>
      <c r="H242" s="29">
        <f t="shared" si="288"/>
        <v>0</v>
      </c>
      <c r="I242" s="29" t="str">
        <f t="shared" si="254"/>
        <v>gallon</v>
      </c>
      <c r="J242" s="29" t="s">
        <v>136</v>
      </c>
      <c r="K242" s="30">
        <f t="shared" si="255"/>
        <v>3.5</v>
      </c>
      <c r="L242" s="10" t="str">
        <f t="shared" si="291"/>
        <v>/ gallon</v>
      </c>
      <c r="M242" s="83">
        <v>0</v>
      </c>
      <c r="N242" s="29">
        <f t="shared" si="293"/>
        <v>1</v>
      </c>
      <c r="O242" s="29">
        <f t="shared" si="294"/>
        <v>10</v>
      </c>
      <c r="P242" s="83" t="s">
        <v>75</v>
      </c>
      <c r="Q242" s="83" t="s">
        <v>75</v>
      </c>
      <c r="R242" s="83">
        <v>0</v>
      </c>
      <c r="S242" s="61">
        <f t="shared" si="292"/>
        <v>0</v>
      </c>
      <c r="T242" s="61"/>
      <c r="U242" s="61"/>
      <c r="V242" s="61"/>
      <c r="W242" s="322"/>
    </row>
    <row r="243" spans="1:23" ht="18" customHeight="1" x14ac:dyDescent="0.4">
      <c r="A243" s="158" t="s">
        <v>283</v>
      </c>
      <c r="B243" s="19">
        <f t="shared" si="303"/>
        <v>0</v>
      </c>
      <c r="C243" s="9"/>
      <c r="D243" s="20">
        <f t="shared" si="259"/>
        <v>0</v>
      </c>
      <c r="E243" s="9"/>
      <c r="F243" s="81">
        <f t="shared" si="260"/>
        <v>0</v>
      </c>
      <c r="G243" s="71">
        <f t="shared" si="261"/>
        <v>0</v>
      </c>
      <c r="H243" s="29">
        <f t="shared" si="288"/>
        <v>0</v>
      </c>
      <c r="I243" s="29" t="str">
        <f t="shared" si="254"/>
        <v>gallon</v>
      </c>
      <c r="J243" s="29" t="s">
        <v>136</v>
      </c>
      <c r="K243" s="30">
        <f t="shared" si="255"/>
        <v>3.5</v>
      </c>
      <c r="L243" s="10" t="str">
        <f t="shared" si="291"/>
        <v>/ gallon</v>
      </c>
      <c r="M243" s="60">
        <f>S243/$AE$4</f>
        <v>0</v>
      </c>
      <c r="N243" s="29">
        <f t="shared" si="293"/>
        <v>1</v>
      </c>
      <c r="O243" s="29">
        <f t="shared" si="294"/>
        <v>10</v>
      </c>
      <c r="P243" s="83" t="s">
        <v>75</v>
      </c>
      <c r="Q243" s="83" t="s">
        <v>75</v>
      </c>
      <c r="R243" s="83">
        <v>0</v>
      </c>
      <c r="S243" s="61">
        <f t="shared" si="292"/>
        <v>0</v>
      </c>
      <c r="T243" s="61"/>
      <c r="U243" s="61"/>
      <c r="V243" s="61"/>
      <c r="W243" s="322"/>
    </row>
    <row r="244" spans="1:23" ht="18" customHeight="1" x14ac:dyDescent="0.4">
      <c r="A244" s="185" t="s">
        <v>455</v>
      </c>
      <c r="B244" s="199">
        <f t="shared" si="303"/>
        <v>0</v>
      </c>
      <c r="C244" s="200"/>
      <c r="D244" s="201">
        <f t="shared" si="259"/>
        <v>0</v>
      </c>
      <c r="E244" s="200"/>
      <c r="F244" s="201">
        <f t="shared" si="260"/>
        <v>0</v>
      </c>
      <c r="G244" s="202">
        <f t="shared" si="261"/>
        <v>0</v>
      </c>
      <c r="H244" s="204">
        <f>M244*$T$16*N244</f>
        <v>0</v>
      </c>
      <c r="I244" s="204" t="str">
        <f t="shared" si="254"/>
        <v>gallon</v>
      </c>
      <c r="J244" s="204" t="s">
        <v>136</v>
      </c>
      <c r="K244" s="193">
        <f t="shared" si="255"/>
        <v>3.5</v>
      </c>
      <c r="L244" s="213" t="str">
        <f t="shared" si="291"/>
        <v>/ gallon</v>
      </c>
      <c r="M244" s="83">
        <v>0</v>
      </c>
      <c r="N244" s="204">
        <f t="shared" si="293"/>
        <v>1</v>
      </c>
      <c r="O244" s="204">
        <f t="shared" si="294"/>
        <v>9</v>
      </c>
      <c r="P244" s="83" t="s">
        <v>75</v>
      </c>
      <c r="Q244" s="83" t="s">
        <v>75</v>
      </c>
      <c r="R244" s="83">
        <v>0</v>
      </c>
      <c r="S244" s="223">
        <f t="shared" si="292"/>
        <v>0</v>
      </c>
      <c r="T244" s="61"/>
      <c r="U244" s="61"/>
      <c r="V244" s="61"/>
      <c r="W244" s="322"/>
    </row>
    <row r="245" spans="1:23" ht="18" customHeight="1" x14ac:dyDescent="0.4">
      <c r="A245" s="185" t="s">
        <v>456</v>
      </c>
      <c r="B245" s="199">
        <f t="shared" si="303"/>
        <v>0</v>
      </c>
      <c r="C245" s="200"/>
      <c r="D245" s="201">
        <f t="shared" ref="D245" si="304">IF($D$5=0,B245/$H$5,B245/$J$14)</f>
        <v>0</v>
      </c>
      <c r="E245" s="200"/>
      <c r="F245" s="201">
        <f t="shared" si="260"/>
        <v>0</v>
      </c>
      <c r="G245" s="202">
        <f t="shared" si="261"/>
        <v>0</v>
      </c>
      <c r="H245" s="204">
        <f>M245*$T$16*N245</f>
        <v>0</v>
      </c>
      <c r="I245" s="204" t="str">
        <f t="shared" si="254"/>
        <v>gallon</v>
      </c>
      <c r="J245" s="204" t="s">
        <v>136</v>
      </c>
      <c r="K245" s="193">
        <f t="shared" si="255"/>
        <v>3.5</v>
      </c>
      <c r="L245" s="213" t="str">
        <f t="shared" ref="L245" si="305">CONCATENATE("/ ",I245)</f>
        <v>/ gallon</v>
      </c>
      <c r="M245" s="83">
        <v>0</v>
      </c>
      <c r="N245" s="204">
        <f t="shared" si="293"/>
        <v>1</v>
      </c>
      <c r="O245" s="204">
        <f t="shared" si="294"/>
        <v>9</v>
      </c>
      <c r="P245" s="83" t="s">
        <v>75</v>
      </c>
      <c r="Q245" s="83" t="s">
        <v>75</v>
      </c>
      <c r="R245" s="83">
        <v>0</v>
      </c>
      <c r="S245" s="223">
        <f t="shared" ref="S245" si="306">R245</f>
        <v>0</v>
      </c>
      <c r="T245" s="61"/>
      <c r="U245" s="61"/>
      <c r="V245" s="61"/>
      <c r="W245" s="322"/>
    </row>
    <row r="246" spans="1:23" ht="18" customHeight="1" x14ac:dyDescent="0.4">
      <c r="A246" s="27" t="s">
        <v>284</v>
      </c>
      <c r="B246" s="19">
        <f t="shared" si="303"/>
        <v>0</v>
      </c>
      <c r="C246" s="9"/>
      <c r="D246" s="20">
        <f t="shared" si="259"/>
        <v>0</v>
      </c>
      <c r="E246" s="9"/>
      <c r="F246" s="81">
        <f t="shared" si="260"/>
        <v>0</v>
      </c>
      <c r="G246" s="71">
        <f t="shared" si="261"/>
        <v>0</v>
      </c>
      <c r="H246" s="29">
        <f t="shared" si="288"/>
        <v>0</v>
      </c>
      <c r="I246" s="29" t="str">
        <f t="shared" si="254"/>
        <v>gallon</v>
      </c>
      <c r="J246" s="29" t="s">
        <v>136</v>
      </c>
      <c r="K246" s="30">
        <f t="shared" si="255"/>
        <v>3.5</v>
      </c>
      <c r="L246" s="10" t="str">
        <f t="shared" si="291"/>
        <v>/ gallon</v>
      </c>
      <c r="M246" s="83">
        <v>0</v>
      </c>
      <c r="N246" s="29">
        <f t="shared" si="293"/>
        <v>0</v>
      </c>
      <c r="O246" s="29">
        <f t="shared" si="294"/>
        <v>10</v>
      </c>
      <c r="P246" s="83" t="s">
        <v>75</v>
      </c>
      <c r="Q246" s="83" t="s">
        <v>75</v>
      </c>
      <c r="R246" s="83">
        <v>0</v>
      </c>
      <c r="S246" s="61">
        <f t="shared" si="292"/>
        <v>0</v>
      </c>
      <c r="T246" s="61"/>
      <c r="U246" s="61"/>
      <c r="V246" s="61"/>
      <c r="W246" s="322"/>
    </row>
    <row r="247" spans="1:23" ht="18" customHeight="1" x14ac:dyDescent="0.4">
      <c r="A247" s="158" t="s">
        <v>298</v>
      </c>
      <c r="B247" s="19">
        <f t="shared" si="303"/>
        <v>0</v>
      </c>
      <c r="C247" s="9"/>
      <c r="D247" s="20">
        <f t="shared" si="259"/>
        <v>0</v>
      </c>
      <c r="E247" s="9"/>
      <c r="F247" s="81">
        <f t="shared" si="260"/>
        <v>0</v>
      </c>
      <c r="G247" s="71">
        <f t="shared" si="261"/>
        <v>0</v>
      </c>
      <c r="H247" s="29">
        <f t="shared" si="288"/>
        <v>0</v>
      </c>
      <c r="I247" s="29" t="str">
        <f t="shared" si="254"/>
        <v>gallon</v>
      </c>
      <c r="J247" s="29" t="s">
        <v>136</v>
      </c>
      <c r="K247" s="30">
        <f t="shared" si="255"/>
        <v>3.5</v>
      </c>
      <c r="L247" s="10" t="str">
        <f t="shared" si="291"/>
        <v>/ gallon</v>
      </c>
      <c r="M247" s="60">
        <f>S247/$AE$4</f>
        <v>0</v>
      </c>
      <c r="N247" s="29">
        <f t="shared" si="293"/>
        <v>1</v>
      </c>
      <c r="O247" s="29">
        <f t="shared" si="294"/>
        <v>10</v>
      </c>
      <c r="P247" s="83" t="s">
        <v>75</v>
      </c>
      <c r="Q247" s="83" t="s">
        <v>75</v>
      </c>
      <c r="R247" s="83">
        <v>0</v>
      </c>
      <c r="S247" s="61">
        <f t="shared" si="292"/>
        <v>0</v>
      </c>
      <c r="T247" s="61"/>
      <c r="U247" s="61"/>
      <c r="V247" s="61"/>
      <c r="W247" s="322"/>
    </row>
    <row r="248" spans="1:23" ht="18" customHeight="1" x14ac:dyDescent="0.4">
      <c r="A248" s="158" t="s">
        <v>286</v>
      </c>
      <c r="B248" s="19">
        <f t="shared" si="303"/>
        <v>0</v>
      </c>
      <c r="C248" s="9"/>
      <c r="D248" s="20">
        <f t="shared" si="259"/>
        <v>0</v>
      </c>
      <c r="E248" s="9"/>
      <c r="F248" s="81">
        <f t="shared" si="260"/>
        <v>0</v>
      </c>
      <c r="G248" s="71">
        <f t="shared" si="261"/>
        <v>0</v>
      </c>
      <c r="H248" s="29">
        <f>M248*(SUM($H$3:$H$4))*N248*0</f>
        <v>0</v>
      </c>
      <c r="I248" s="29" t="str">
        <f t="shared" si="254"/>
        <v>gallon</v>
      </c>
      <c r="J248" s="29" t="s">
        <v>136</v>
      </c>
      <c r="K248" s="30">
        <f t="shared" si="255"/>
        <v>3.5</v>
      </c>
      <c r="L248" s="10" t="str">
        <f t="shared" si="291"/>
        <v>/ gallon</v>
      </c>
      <c r="M248" s="60">
        <f>S248/$AE$4</f>
        <v>5.5</v>
      </c>
      <c r="N248" s="29">
        <f t="shared" si="293"/>
        <v>0</v>
      </c>
      <c r="O248" s="29">
        <f t="shared" si="294"/>
        <v>10</v>
      </c>
      <c r="P248" s="83" t="s">
        <v>75</v>
      </c>
      <c r="Q248" s="83" t="s">
        <v>75</v>
      </c>
      <c r="R248" s="84">
        <f>((20*(1/32))*($R$127/38))</f>
        <v>0.625</v>
      </c>
      <c r="S248" s="60">
        <f t="shared" si="292"/>
        <v>0.625</v>
      </c>
      <c r="T248" s="60"/>
      <c r="U248" s="60"/>
      <c r="V248" s="60"/>
      <c r="W248" s="321"/>
    </row>
    <row r="249" spans="1:23" ht="18" customHeight="1" x14ac:dyDescent="0.4">
      <c r="A249" s="185" t="s">
        <v>286</v>
      </c>
      <c r="B249" s="205">
        <f t="shared" ref="B249:B250" si="307">(H249*K249)/O249</f>
        <v>0.22488776655443315</v>
      </c>
      <c r="C249" s="200"/>
      <c r="D249" s="201">
        <f t="shared" ref="D249:D250" si="308">IF($D$5=0,B249/$H$5,B249/$J$14)</f>
        <v>1.3681719428926131</v>
      </c>
      <c r="E249" s="200"/>
      <c r="F249" s="201">
        <f t="shared" si="260"/>
        <v>3.1408905943356595E-2</v>
      </c>
      <c r="G249" s="242">
        <f t="shared" si="261"/>
        <v>4.5323425839607743E-4</v>
      </c>
      <c r="H249" s="222">
        <f>M249*$T$16*N249</f>
        <v>0.57828282828282807</v>
      </c>
      <c r="I249" s="204" t="str">
        <f t="shared" si="254"/>
        <v>gallon</v>
      </c>
      <c r="J249" s="204" t="s">
        <v>136</v>
      </c>
      <c r="K249" s="193">
        <f t="shared" si="255"/>
        <v>3.5</v>
      </c>
      <c r="L249" s="213" t="str">
        <f t="shared" ref="L249:L250" si="309">CONCATENATE("/ ",I249)</f>
        <v>/ gallon</v>
      </c>
      <c r="M249" s="222">
        <f>S249/$AE$4</f>
        <v>5.5</v>
      </c>
      <c r="N249" s="204">
        <f t="shared" si="293"/>
        <v>1</v>
      </c>
      <c r="O249" s="204">
        <f t="shared" si="294"/>
        <v>9</v>
      </c>
      <c r="P249" s="83" t="s">
        <v>75</v>
      </c>
      <c r="Q249" s="83" t="s">
        <v>75</v>
      </c>
      <c r="R249" s="84">
        <f>((20*(1/32))*($R$127/38))</f>
        <v>0.625</v>
      </c>
      <c r="S249" s="222">
        <f t="shared" ref="S249:S250" si="310">R249</f>
        <v>0.625</v>
      </c>
      <c r="T249" s="60"/>
      <c r="U249" s="60"/>
      <c r="V249" s="60"/>
      <c r="W249" s="321"/>
    </row>
    <row r="250" spans="1:23" ht="19.2" customHeight="1" x14ac:dyDescent="0.4">
      <c r="A250" s="185" t="s">
        <v>287</v>
      </c>
      <c r="B250" s="199">
        <f t="shared" si="307"/>
        <v>0</v>
      </c>
      <c r="C250" s="200"/>
      <c r="D250" s="201">
        <f t="shared" si="308"/>
        <v>0</v>
      </c>
      <c r="E250" s="200"/>
      <c r="F250" s="201">
        <f t="shared" si="260"/>
        <v>0</v>
      </c>
      <c r="G250" s="202">
        <f t="shared" si="261"/>
        <v>0</v>
      </c>
      <c r="H250" s="204">
        <f>M250*$T$16*N250</f>
        <v>0</v>
      </c>
      <c r="I250" s="204" t="str">
        <f t="shared" si="254"/>
        <v>gallon</v>
      </c>
      <c r="J250" s="204" t="s">
        <v>136</v>
      </c>
      <c r="K250" s="193">
        <f t="shared" si="255"/>
        <v>3.5</v>
      </c>
      <c r="L250" s="213" t="str">
        <f t="shared" si="309"/>
        <v>/ gallon</v>
      </c>
      <c r="M250" s="222">
        <f>S250/$AE$4</f>
        <v>0</v>
      </c>
      <c r="N250" s="204">
        <f t="shared" si="293"/>
        <v>0</v>
      </c>
      <c r="O250" s="204">
        <f t="shared" si="294"/>
        <v>9</v>
      </c>
      <c r="P250" s="83" t="s">
        <v>75</v>
      </c>
      <c r="Q250" s="83" t="s">
        <v>75</v>
      </c>
      <c r="R250" s="83">
        <v>0</v>
      </c>
      <c r="S250" s="223">
        <f t="shared" si="310"/>
        <v>0</v>
      </c>
      <c r="T250" s="61"/>
      <c r="U250" s="61"/>
      <c r="V250" s="61"/>
      <c r="W250" s="322"/>
    </row>
    <row r="251" spans="1:23" ht="19.2" customHeight="1" x14ac:dyDescent="0.4">
      <c r="A251" s="158" t="s">
        <v>287</v>
      </c>
      <c r="B251" s="19">
        <f t="shared" si="303"/>
        <v>0</v>
      </c>
      <c r="C251" s="9"/>
      <c r="D251" s="20">
        <f t="shared" si="259"/>
        <v>0</v>
      </c>
      <c r="E251" s="9"/>
      <c r="F251" s="81">
        <f t="shared" si="260"/>
        <v>0</v>
      </c>
      <c r="G251" s="71">
        <f t="shared" si="261"/>
        <v>0</v>
      </c>
      <c r="H251" s="29">
        <f t="shared" ref="H251:H260" si="311">M251*(SUM($H$3:$H$4))*N251</f>
        <v>0</v>
      </c>
      <c r="I251" s="29" t="str">
        <f t="shared" si="254"/>
        <v>gallon</v>
      </c>
      <c r="J251" s="29" t="s">
        <v>136</v>
      </c>
      <c r="K251" s="30">
        <f t="shared" si="255"/>
        <v>3.5</v>
      </c>
      <c r="L251" s="10" t="str">
        <f t="shared" si="291"/>
        <v>/ gallon</v>
      </c>
      <c r="M251" s="60">
        <f>S251/$AE$4</f>
        <v>0</v>
      </c>
      <c r="N251" s="29">
        <f t="shared" si="293"/>
        <v>1</v>
      </c>
      <c r="O251" s="29">
        <f t="shared" si="294"/>
        <v>10</v>
      </c>
      <c r="P251" s="83" t="s">
        <v>75</v>
      </c>
      <c r="Q251" s="83" t="s">
        <v>75</v>
      </c>
      <c r="R251" s="83">
        <v>0</v>
      </c>
      <c r="S251" s="61">
        <f t="shared" si="292"/>
        <v>0</v>
      </c>
      <c r="T251" s="61"/>
      <c r="U251" s="61"/>
      <c r="V251" s="61"/>
      <c r="W251" s="322"/>
    </row>
    <row r="252" spans="1:23" ht="18" customHeight="1" x14ac:dyDescent="0.4">
      <c r="A252" s="27" t="s">
        <v>288</v>
      </c>
      <c r="B252" s="19">
        <f t="shared" si="303"/>
        <v>0</v>
      </c>
      <c r="C252" s="9"/>
      <c r="D252" s="20">
        <f t="shared" si="259"/>
        <v>0</v>
      </c>
      <c r="E252" s="9"/>
      <c r="F252" s="81">
        <f t="shared" si="260"/>
        <v>0</v>
      </c>
      <c r="G252" s="71">
        <f t="shared" si="261"/>
        <v>0</v>
      </c>
      <c r="H252" s="29">
        <f t="shared" si="311"/>
        <v>0</v>
      </c>
      <c r="I252" s="29" t="str">
        <f t="shared" si="254"/>
        <v>gallon</v>
      </c>
      <c r="J252" s="29" t="s">
        <v>136</v>
      </c>
      <c r="K252" s="30">
        <f t="shared" si="255"/>
        <v>3.5</v>
      </c>
      <c r="L252" s="10" t="str">
        <f>CONCATENATE("/ ",I252)</f>
        <v>/ gallon</v>
      </c>
      <c r="M252" s="83">
        <v>0</v>
      </c>
      <c r="N252" s="29">
        <f t="shared" si="293"/>
        <v>0</v>
      </c>
      <c r="O252" s="29">
        <f t="shared" si="294"/>
        <v>10</v>
      </c>
      <c r="P252" s="83" t="s">
        <v>75</v>
      </c>
      <c r="Q252" s="83" t="s">
        <v>75</v>
      </c>
      <c r="R252" s="83">
        <v>0</v>
      </c>
      <c r="S252" s="61">
        <f t="shared" si="292"/>
        <v>0</v>
      </c>
      <c r="T252" s="61"/>
      <c r="U252" s="61"/>
      <c r="V252" s="61"/>
      <c r="W252" s="322"/>
    </row>
    <row r="253" spans="1:23" ht="18" customHeight="1" x14ac:dyDescent="0.4">
      <c r="A253" s="674" t="s">
        <v>723</v>
      </c>
      <c r="B253" s="19">
        <f t="shared" ref="B253" si="312">(H253*K253)/O253</f>
        <v>0</v>
      </c>
      <c r="C253" s="9"/>
      <c r="D253" s="20">
        <f t="shared" ref="D253" si="313">IF($D$5=0,B253/$H$5,B253/$J$14)</f>
        <v>0</v>
      </c>
      <c r="E253" s="9"/>
      <c r="F253" s="81">
        <f t="shared" si="260"/>
        <v>0</v>
      </c>
      <c r="G253" s="71">
        <f t="shared" si="261"/>
        <v>0</v>
      </c>
      <c r="H253" s="29">
        <f t="shared" ref="H253" si="314">M253*(SUM($H$3:$H$4))*N253</f>
        <v>0</v>
      </c>
      <c r="I253" s="29" t="str">
        <f t="shared" si="254"/>
        <v>gallon</v>
      </c>
      <c r="J253" s="29" t="s">
        <v>136</v>
      </c>
      <c r="K253" s="30">
        <f t="shared" si="255"/>
        <v>3.5</v>
      </c>
      <c r="L253" s="10" t="str">
        <f>CONCATENATE("/ ",I253)</f>
        <v>/ gallon</v>
      </c>
      <c r="M253" s="676">
        <v>0</v>
      </c>
      <c r="N253" s="29">
        <f t="shared" si="293"/>
        <v>0</v>
      </c>
      <c r="O253" s="29">
        <f t="shared" si="294"/>
        <v>10</v>
      </c>
      <c r="P253" s="83" t="s">
        <v>75</v>
      </c>
      <c r="Q253" s="83" t="s">
        <v>75</v>
      </c>
      <c r="R253" s="83">
        <v>0</v>
      </c>
      <c r="S253" s="61">
        <f t="shared" ref="S253" si="315">R253</f>
        <v>0</v>
      </c>
      <c r="T253" s="61"/>
      <c r="U253" s="61"/>
      <c r="V253" s="61"/>
      <c r="W253" s="322"/>
    </row>
    <row r="254" spans="1:23" ht="18" customHeight="1" x14ac:dyDescent="0.4">
      <c r="A254" s="158" t="s">
        <v>289</v>
      </c>
      <c r="B254" s="19">
        <f t="shared" si="303"/>
        <v>0</v>
      </c>
      <c r="C254" s="9"/>
      <c r="D254" s="20">
        <f t="shared" si="259"/>
        <v>0</v>
      </c>
      <c r="E254" s="9"/>
      <c r="F254" s="81">
        <f t="shared" si="260"/>
        <v>0</v>
      </c>
      <c r="G254" s="71">
        <f t="shared" si="261"/>
        <v>0</v>
      </c>
      <c r="H254" s="29">
        <f t="shared" si="311"/>
        <v>0</v>
      </c>
      <c r="I254" s="29" t="str">
        <f t="shared" si="254"/>
        <v>gallon</v>
      </c>
      <c r="J254" s="29" t="s">
        <v>136</v>
      </c>
      <c r="K254" s="30">
        <f t="shared" si="255"/>
        <v>3.5</v>
      </c>
      <c r="L254" s="10" t="str">
        <f t="shared" si="291"/>
        <v>/ gallon</v>
      </c>
      <c r="M254" s="60">
        <f>S254/$AE$4</f>
        <v>0</v>
      </c>
      <c r="N254" s="29">
        <f t="shared" si="293"/>
        <v>1</v>
      </c>
      <c r="O254" s="29">
        <f t="shared" si="294"/>
        <v>1</v>
      </c>
      <c r="P254" s="83" t="s">
        <v>75</v>
      </c>
      <c r="Q254" s="83" t="s">
        <v>75</v>
      </c>
      <c r="R254" s="83">
        <v>0</v>
      </c>
      <c r="S254" s="61">
        <f t="shared" si="292"/>
        <v>0</v>
      </c>
      <c r="T254" s="61"/>
      <c r="U254" s="61"/>
      <c r="V254" s="61"/>
      <c r="W254" s="322"/>
    </row>
    <row r="255" spans="1:23" ht="18" customHeight="1" x14ac:dyDescent="0.4">
      <c r="A255" s="158" t="s">
        <v>290</v>
      </c>
      <c r="B255" s="19">
        <f t="shared" si="303"/>
        <v>0</v>
      </c>
      <c r="C255" s="9"/>
      <c r="D255" s="20">
        <f t="shared" si="259"/>
        <v>0</v>
      </c>
      <c r="E255" s="9"/>
      <c r="F255" s="81">
        <f t="shared" si="260"/>
        <v>0</v>
      </c>
      <c r="G255" s="71">
        <f t="shared" si="261"/>
        <v>0</v>
      </c>
      <c r="H255" s="29">
        <f t="shared" si="311"/>
        <v>0</v>
      </c>
      <c r="I255" s="29" t="str">
        <f t="shared" si="254"/>
        <v>gallon</v>
      </c>
      <c r="J255" s="29" t="s">
        <v>136</v>
      </c>
      <c r="K255" s="30">
        <f t="shared" si="255"/>
        <v>3.5</v>
      </c>
      <c r="L255" s="10" t="str">
        <f>CONCATENATE("/ ",I255)</f>
        <v>/ gallon</v>
      </c>
      <c r="M255" s="60">
        <f>S255/$AE$4</f>
        <v>0</v>
      </c>
      <c r="N255" s="29">
        <f t="shared" si="293"/>
        <v>8</v>
      </c>
      <c r="O255" s="29">
        <f t="shared" si="294"/>
        <v>1</v>
      </c>
      <c r="P255" s="83" t="s">
        <v>75</v>
      </c>
      <c r="Q255" s="83" t="s">
        <v>75</v>
      </c>
      <c r="R255" s="83">
        <v>0</v>
      </c>
      <c r="S255" s="61">
        <f t="shared" si="292"/>
        <v>0</v>
      </c>
      <c r="T255" s="61"/>
      <c r="U255" s="61"/>
      <c r="V255" s="61"/>
      <c r="W255" s="322"/>
    </row>
    <row r="256" spans="1:23" ht="18" customHeight="1" x14ac:dyDescent="0.4">
      <c r="A256" s="185" t="s">
        <v>289</v>
      </c>
      <c r="B256" s="199">
        <f t="shared" ref="B256:B257" si="316">(H256*K256)/O256</f>
        <v>0</v>
      </c>
      <c r="C256" s="200"/>
      <c r="D256" s="201">
        <f t="shared" ref="D256:D257" si="317">IF($D$5=0,B256/$H$5,B256/$J$14)</f>
        <v>0</v>
      </c>
      <c r="E256" s="200"/>
      <c r="F256" s="201">
        <f t="shared" si="260"/>
        <v>0</v>
      </c>
      <c r="G256" s="202">
        <f t="shared" si="261"/>
        <v>0</v>
      </c>
      <c r="H256" s="204">
        <f t="shared" ref="H256:H257" si="318">M256*(SUM($H$3:$H$4))*N256</f>
        <v>0</v>
      </c>
      <c r="I256" s="204" t="str">
        <f t="shared" si="254"/>
        <v>gallon</v>
      </c>
      <c r="J256" s="204" t="s">
        <v>136</v>
      </c>
      <c r="K256" s="193">
        <f t="shared" si="255"/>
        <v>3.5</v>
      </c>
      <c r="L256" s="213" t="str">
        <f t="shared" ref="L256" si="319">CONCATENATE("/ ",I256)</f>
        <v>/ gallon</v>
      </c>
      <c r="M256" s="222">
        <f>S256/$AE$4</f>
        <v>0</v>
      </c>
      <c r="N256" s="204">
        <f t="shared" si="293"/>
        <v>1</v>
      </c>
      <c r="O256" s="204">
        <f t="shared" si="294"/>
        <v>10</v>
      </c>
      <c r="P256" s="83" t="s">
        <v>75</v>
      </c>
      <c r="Q256" s="83" t="s">
        <v>75</v>
      </c>
      <c r="R256" s="83">
        <v>0</v>
      </c>
      <c r="S256" s="223">
        <f t="shared" ref="S256:S257" si="320">R256</f>
        <v>0</v>
      </c>
      <c r="T256" s="61"/>
      <c r="U256" s="61"/>
      <c r="V256" s="61"/>
      <c r="W256" s="322"/>
    </row>
    <row r="257" spans="1:23" ht="18" customHeight="1" x14ac:dyDescent="0.4">
      <c r="A257" s="185" t="s">
        <v>290</v>
      </c>
      <c r="B257" s="199">
        <f t="shared" si="316"/>
        <v>0</v>
      </c>
      <c r="C257" s="200"/>
      <c r="D257" s="201">
        <f t="shared" si="317"/>
        <v>0</v>
      </c>
      <c r="E257" s="200"/>
      <c r="F257" s="201">
        <f t="shared" si="260"/>
        <v>0</v>
      </c>
      <c r="G257" s="202">
        <f t="shared" si="261"/>
        <v>0</v>
      </c>
      <c r="H257" s="204">
        <f t="shared" si="318"/>
        <v>0</v>
      </c>
      <c r="I257" s="204" t="str">
        <f t="shared" si="254"/>
        <v>gallon</v>
      </c>
      <c r="J257" s="204" t="s">
        <v>136</v>
      </c>
      <c r="K257" s="193">
        <f t="shared" si="255"/>
        <v>3.5</v>
      </c>
      <c r="L257" s="213" t="str">
        <f>CONCATENATE("/ ",I257)</f>
        <v>/ gallon</v>
      </c>
      <c r="M257" s="222">
        <f>S257/$AE$4</f>
        <v>0</v>
      </c>
      <c r="N257" s="204">
        <f t="shared" si="293"/>
        <v>8</v>
      </c>
      <c r="O257" s="204">
        <f t="shared" si="294"/>
        <v>10</v>
      </c>
      <c r="P257" s="83" t="s">
        <v>75</v>
      </c>
      <c r="Q257" s="83" t="s">
        <v>75</v>
      </c>
      <c r="R257" s="83">
        <v>0</v>
      </c>
      <c r="S257" s="223">
        <f t="shared" si="320"/>
        <v>0</v>
      </c>
      <c r="T257" s="61"/>
      <c r="U257" s="61"/>
      <c r="V257" s="61"/>
      <c r="W257" s="322"/>
    </row>
    <row r="258" spans="1:23" ht="18" customHeight="1" x14ac:dyDescent="0.4">
      <c r="A258" s="158" t="s">
        <v>291</v>
      </c>
      <c r="B258" s="19">
        <f t="shared" si="303"/>
        <v>0</v>
      </c>
      <c r="C258" s="9"/>
      <c r="D258" s="20">
        <f t="shared" si="259"/>
        <v>0</v>
      </c>
      <c r="E258" s="9"/>
      <c r="F258" s="81">
        <f t="shared" si="260"/>
        <v>0</v>
      </c>
      <c r="G258" s="71">
        <f t="shared" si="261"/>
        <v>0</v>
      </c>
      <c r="H258" s="29">
        <f t="shared" si="311"/>
        <v>0</v>
      </c>
      <c r="I258" s="29" t="str">
        <f t="shared" si="254"/>
        <v>gallon</v>
      </c>
      <c r="J258" s="29" t="s">
        <v>136</v>
      </c>
      <c r="K258" s="30">
        <f t="shared" si="255"/>
        <v>3.5</v>
      </c>
      <c r="L258" s="10" t="str">
        <f t="shared" si="291"/>
        <v>/ gallon</v>
      </c>
      <c r="M258" s="60">
        <f>S258/$AE$4</f>
        <v>0</v>
      </c>
      <c r="N258" s="29">
        <f t="shared" si="293"/>
        <v>0</v>
      </c>
      <c r="O258" s="29">
        <f t="shared" si="294"/>
        <v>1</v>
      </c>
      <c r="P258" s="83" t="s">
        <v>75</v>
      </c>
      <c r="Q258" s="83" t="s">
        <v>75</v>
      </c>
      <c r="R258" s="83">
        <v>0</v>
      </c>
      <c r="S258" s="61">
        <f t="shared" si="292"/>
        <v>0</v>
      </c>
      <c r="T258" s="61"/>
      <c r="U258" s="61"/>
      <c r="V258" s="61"/>
      <c r="W258" s="322"/>
    </row>
    <row r="259" spans="1:23" ht="18" customHeight="1" x14ac:dyDescent="0.4">
      <c r="A259" s="185" t="s">
        <v>471</v>
      </c>
      <c r="B259" s="199">
        <f t="shared" si="303"/>
        <v>0</v>
      </c>
      <c r="C259" s="200"/>
      <c r="D259" s="201">
        <f t="shared" si="259"/>
        <v>0</v>
      </c>
      <c r="E259" s="200"/>
      <c r="F259" s="201">
        <f t="shared" si="260"/>
        <v>0</v>
      </c>
      <c r="G259" s="202">
        <f t="shared" si="261"/>
        <v>0</v>
      </c>
      <c r="H259" s="223">
        <f>M259*$Y$9*N259</f>
        <v>0</v>
      </c>
      <c r="I259" s="204" t="str">
        <f t="shared" si="254"/>
        <v>gallon</v>
      </c>
      <c r="J259" s="204" t="s">
        <v>136</v>
      </c>
      <c r="K259" s="193">
        <f t="shared" si="255"/>
        <v>3.5</v>
      </c>
      <c r="L259" s="213" t="str">
        <f t="shared" si="291"/>
        <v>/ gallon</v>
      </c>
      <c r="M259" s="83">
        <v>0</v>
      </c>
      <c r="N259" s="204">
        <f t="shared" si="293"/>
        <v>1</v>
      </c>
      <c r="O259" s="204">
        <f t="shared" si="294"/>
        <v>9</v>
      </c>
      <c r="P259" s="83" t="s">
        <v>75</v>
      </c>
      <c r="Q259" s="83" t="s">
        <v>75</v>
      </c>
      <c r="R259" s="83">
        <v>0</v>
      </c>
      <c r="S259" s="222">
        <f t="shared" si="292"/>
        <v>0</v>
      </c>
      <c r="T259" s="61"/>
      <c r="U259" s="60"/>
      <c r="V259" s="60"/>
      <c r="W259" s="321"/>
    </row>
    <row r="260" spans="1:23" ht="18" customHeight="1" x14ac:dyDescent="0.4">
      <c r="A260" s="2" t="s">
        <v>87</v>
      </c>
      <c r="B260" s="19">
        <f t="shared" si="303"/>
        <v>0</v>
      </c>
      <c r="C260" s="9"/>
      <c r="D260" s="20">
        <f t="shared" si="259"/>
        <v>0</v>
      </c>
      <c r="E260" s="9"/>
      <c r="F260" s="81">
        <f t="shared" si="260"/>
        <v>0</v>
      </c>
      <c r="G260" s="71">
        <f t="shared" si="261"/>
        <v>0</v>
      </c>
      <c r="H260" s="29">
        <f t="shared" si="311"/>
        <v>0</v>
      </c>
      <c r="I260" s="29" t="str">
        <f t="shared" si="254"/>
        <v>gallon</v>
      </c>
      <c r="J260" s="29" t="s">
        <v>136</v>
      </c>
      <c r="K260" s="30">
        <f t="shared" si="255"/>
        <v>3.5</v>
      </c>
      <c r="L260" s="10" t="str">
        <f t="shared" si="291"/>
        <v>/ gallon</v>
      </c>
      <c r="M260" s="83">
        <v>0</v>
      </c>
      <c r="N260" s="29">
        <f t="shared" si="293"/>
        <v>0</v>
      </c>
      <c r="O260" s="29">
        <f t="shared" si="294"/>
        <v>1</v>
      </c>
      <c r="P260" s="83" t="s">
        <v>75</v>
      </c>
      <c r="Q260" s="83" t="s">
        <v>75</v>
      </c>
      <c r="R260" s="83">
        <v>0</v>
      </c>
      <c r="S260" s="61">
        <f t="shared" si="292"/>
        <v>0</v>
      </c>
      <c r="T260" s="61"/>
      <c r="U260" s="61"/>
      <c r="V260" s="61"/>
      <c r="W260" s="322"/>
    </row>
    <row r="261" spans="1:23" ht="18" customHeight="1" x14ac:dyDescent="0.4">
      <c r="A261" s="24" t="s">
        <v>738</v>
      </c>
      <c r="B261" s="19"/>
      <c r="C261" s="9"/>
      <c r="D261" s="20"/>
      <c r="E261" s="9"/>
      <c r="F261" s="21"/>
      <c r="G261" s="71"/>
      <c r="H261" s="13" t="s">
        <v>232</v>
      </c>
      <c r="I261" s="13" t="s">
        <v>143</v>
      </c>
      <c r="J261" s="13" t="s">
        <v>82</v>
      </c>
      <c r="K261" s="13" t="s">
        <v>172</v>
      </c>
      <c r="L261" s="18" t="s">
        <v>147</v>
      </c>
      <c r="M261" s="13" t="s">
        <v>165</v>
      </c>
      <c r="N261" s="13" t="s">
        <v>82</v>
      </c>
      <c r="O261" s="13" t="s">
        <v>79</v>
      </c>
      <c r="P261" s="13" t="s">
        <v>73</v>
      </c>
      <c r="Q261" s="13" t="s">
        <v>74</v>
      </c>
      <c r="R261" s="13" t="s">
        <v>347</v>
      </c>
      <c r="S261" s="13" t="s">
        <v>342</v>
      </c>
      <c r="T261" s="187"/>
      <c r="U261" s="187"/>
      <c r="V261" s="187"/>
      <c r="W261" s="314"/>
    </row>
    <row r="262" spans="1:23" ht="18" customHeight="1" x14ac:dyDescent="0.4">
      <c r="A262" s="27" t="s">
        <v>299</v>
      </c>
      <c r="B262" s="19">
        <f t="shared" si="303"/>
        <v>0</v>
      </c>
      <c r="C262" s="9"/>
      <c r="D262" s="20">
        <f t="shared" ref="D262:D287" si="321">IF($D$5=0,B262/$H$5,B262/$J$14)</f>
        <v>0</v>
      </c>
      <c r="E262" s="9"/>
      <c r="F262" s="81">
        <f>IF($F$5=0,(B262/($H$6/1000)),B262/$M$416)</f>
        <v>0</v>
      </c>
      <c r="G262" s="71">
        <f>B262/$B$313</f>
        <v>0</v>
      </c>
      <c r="H262" s="29">
        <f t="shared" ref="H262:H287" si="322">M262*$H$5*N262</f>
        <v>0</v>
      </c>
      <c r="I262" s="29" t="str">
        <f t="shared" ref="I262:I285" si="323">$K$3</f>
        <v>gallon</v>
      </c>
      <c r="J262" s="29" t="s">
        <v>136</v>
      </c>
      <c r="K262" s="30">
        <f t="shared" ref="K262:K285" si="324">$M$3</f>
        <v>3.5</v>
      </c>
      <c r="L262" s="10" t="str">
        <f t="shared" ref="L262:L287" si="325">CONCATENATE("/ ",I262)</f>
        <v>/ gallon</v>
      </c>
      <c r="M262" s="83">
        <v>0</v>
      </c>
      <c r="N262" s="29">
        <f>J141</f>
        <v>0</v>
      </c>
      <c r="O262" s="83">
        <v>1</v>
      </c>
      <c r="P262" s="83" t="s">
        <v>75</v>
      </c>
      <c r="Q262" s="83" t="s">
        <v>75</v>
      </c>
      <c r="R262" s="83">
        <v>0</v>
      </c>
      <c r="S262" s="61">
        <f t="shared" si="292"/>
        <v>0</v>
      </c>
      <c r="T262" s="61"/>
      <c r="U262" s="61"/>
      <c r="V262" s="61"/>
      <c r="W262" s="322"/>
    </row>
    <row r="263" spans="1:23" ht="18" customHeight="1" x14ac:dyDescent="0.4">
      <c r="A263" s="185" t="s">
        <v>482</v>
      </c>
      <c r="B263" s="199">
        <f t="shared" ref="B263" si="326">(H263*K263)/O263</f>
        <v>0</v>
      </c>
      <c r="C263" s="200"/>
      <c r="D263" s="201">
        <f t="shared" ref="D263" si="327">IF($D$5=0,B263/$H$5,B263/$J$14)</f>
        <v>0</v>
      </c>
      <c r="E263" s="200"/>
      <c r="F263" s="201">
        <f>IF($F$5=0,(B263/($H$6/1000)),B263/$M$416)</f>
        <v>0</v>
      </c>
      <c r="G263" s="202">
        <f>B263/$B$313</f>
        <v>0</v>
      </c>
      <c r="H263" s="204">
        <f t="shared" ref="H263" si="328">M263*$H$5*N263</f>
        <v>0</v>
      </c>
      <c r="I263" s="204" t="str">
        <f t="shared" si="323"/>
        <v>gallon</v>
      </c>
      <c r="J263" s="204" t="s">
        <v>136</v>
      </c>
      <c r="K263" s="193">
        <f t="shared" si="324"/>
        <v>3.5</v>
      </c>
      <c r="L263" s="213" t="str">
        <f t="shared" ref="L263" si="329">CONCATENATE("/ ",I263)</f>
        <v>/ gallon</v>
      </c>
      <c r="M263" s="83">
        <v>0</v>
      </c>
      <c r="N263" s="204">
        <f>J142</f>
        <v>1</v>
      </c>
      <c r="O263" s="83">
        <v>1</v>
      </c>
      <c r="P263" s="83" t="s">
        <v>75</v>
      </c>
      <c r="Q263" s="83" t="s">
        <v>75</v>
      </c>
      <c r="R263" s="83">
        <v>0</v>
      </c>
      <c r="S263" s="223">
        <f t="shared" ref="S263" si="330">R263</f>
        <v>0</v>
      </c>
      <c r="T263" s="61"/>
      <c r="U263" s="61"/>
      <c r="V263" s="61"/>
      <c r="W263" s="322"/>
    </row>
    <row r="264" spans="1:23" ht="18" customHeight="1" x14ac:dyDescent="0.4">
      <c r="A264" s="158" t="s">
        <v>300</v>
      </c>
      <c r="B264" s="159">
        <f t="shared" si="303"/>
        <v>0</v>
      </c>
      <c r="C264" s="9"/>
      <c r="D264" s="20">
        <f t="shared" si="321"/>
        <v>0</v>
      </c>
      <c r="E264" s="9"/>
      <c r="F264" s="81">
        <f>IF($F$5=0,(B264/($H$6/1000)),B264/$M$416)</f>
        <v>0</v>
      </c>
      <c r="G264" s="71">
        <f>B264/$B$313</f>
        <v>0</v>
      </c>
      <c r="H264" s="29">
        <f t="shared" si="322"/>
        <v>0</v>
      </c>
      <c r="I264" s="29" t="str">
        <f t="shared" si="323"/>
        <v>gallon</v>
      </c>
      <c r="J264" s="29" t="s">
        <v>136</v>
      </c>
      <c r="K264" s="30">
        <f t="shared" si="324"/>
        <v>3.5</v>
      </c>
      <c r="L264" s="10" t="str">
        <f t="shared" si="325"/>
        <v>/ gallon</v>
      </c>
      <c r="M264" s="60">
        <f>S264/$AE$4</f>
        <v>0.61</v>
      </c>
      <c r="N264" s="29">
        <f>J143</f>
        <v>0</v>
      </c>
      <c r="O264" s="29">
        <f>O143</f>
        <v>1</v>
      </c>
      <c r="P264" s="83" t="s">
        <v>75</v>
      </c>
      <c r="Q264" s="83" t="s">
        <v>75</v>
      </c>
      <c r="R264" s="162">
        <f>0.61*$AE$4</f>
        <v>6.931818181818182E-2</v>
      </c>
      <c r="S264" s="62">
        <f t="shared" si="292"/>
        <v>6.931818181818182E-2</v>
      </c>
      <c r="T264" s="62"/>
      <c r="U264" s="62"/>
      <c r="V264" s="62"/>
      <c r="W264" s="323"/>
    </row>
    <row r="265" spans="1:23" ht="18" customHeight="1" x14ac:dyDescent="0.4">
      <c r="A265" s="27" t="s">
        <v>370</v>
      </c>
      <c r="B265" s="19">
        <f t="shared" ref="B265:B286" si="331">(H265*K265)/O265</f>
        <v>0</v>
      </c>
      <c r="C265" s="9"/>
      <c r="D265" s="20">
        <f t="shared" ref="D265" si="332">IF($D$5=0,B265/$H$5,B265/$J$14)</f>
        <v>0</v>
      </c>
      <c r="E265" s="9"/>
      <c r="F265" s="81">
        <f>IF($F$5=0,(B265/($H$6/1000)),B265/$M$416)</f>
        <v>0</v>
      </c>
      <c r="G265" s="71">
        <f>B265/$B$313</f>
        <v>0</v>
      </c>
      <c r="H265" s="29">
        <f t="shared" si="322"/>
        <v>0</v>
      </c>
      <c r="I265" s="29" t="str">
        <f t="shared" si="323"/>
        <v>gallon</v>
      </c>
      <c r="J265" s="29" t="s">
        <v>136</v>
      </c>
      <c r="K265" s="30">
        <f t="shared" si="324"/>
        <v>3.5</v>
      </c>
      <c r="L265" s="10" t="str">
        <f t="shared" si="325"/>
        <v>/ gallon</v>
      </c>
      <c r="M265" s="83">
        <v>0</v>
      </c>
      <c r="N265" s="29">
        <f>J144</f>
        <v>0</v>
      </c>
      <c r="O265" s="83">
        <v>1</v>
      </c>
      <c r="P265" s="83" t="s">
        <v>75</v>
      </c>
      <c r="Q265" s="83" t="s">
        <v>75</v>
      </c>
      <c r="R265" s="83">
        <v>0</v>
      </c>
      <c r="S265" s="61">
        <f t="shared" si="292"/>
        <v>0</v>
      </c>
      <c r="T265" s="61"/>
      <c r="U265" s="61"/>
      <c r="V265" s="61"/>
      <c r="W265" s="322"/>
    </row>
    <row r="266" spans="1:23" ht="18" customHeight="1" x14ac:dyDescent="0.4">
      <c r="A266" s="2" t="s">
        <v>88</v>
      </c>
      <c r="B266" s="19">
        <f t="shared" si="331"/>
        <v>0</v>
      </c>
      <c r="C266" s="9"/>
      <c r="D266" s="20">
        <f t="shared" si="321"/>
        <v>0</v>
      </c>
      <c r="E266" s="9"/>
      <c r="F266" s="81">
        <f>IF($F$5=0,(B266/($H$6/1000)),B266/$M$416)</f>
        <v>0</v>
      </c>
      <c r="G266" s="71">
        <f>B266/$B$313</f>
        <v>0</v>
      </c>
      <c r="H266" s="29">
        <f t="shared" si="322"/>
        <v>0</v>
      </c>
      <c r="I266" s="29" t="str">
        <f t="shared" si="323"/>
        <v>gallon</v>
      </c>
      <c r="J266" s="29" t="s">
        <v>136</v>
      </c>
      <c r="K266" s="30">
        <f t="shared" si="324"/>
        <v>3.5</v>
      </c>
      <c r="L266" s="10" t="str">
        <f t="shared" si="325"/>
        <v>/ gallon</v>
      </c>
      <c r="M266" s="83">
        <v>0</v>
      </c>
      <c r="N266" s="29">
        <f>J145</f>
        <v>0</v>
      </c>
      <c r="O266" s="83">
        <v>1</v>
      </c>
      <c r="P266" s="83" t="s">
        <v>75</v>
      </c>
      <c r="Q266" s="83" t="s">
        <v>75</v>
      </c>
      <c r="R266" s="83">
        <v>0</v>
      </c>
      <c r="S266" s="61">
        <f t="shared" si="292"/>
        <v>0</v>
      </c>
      <c r="T266" s="61"/>
      <c r="U266" s="61"/>
      <c r="V266" s="61"/>
      <c r="W266" s="322"/>
    </row>
    <row r="267" spans="1:23" ht="18" customHeight="1" x14ac:dyDescent="0.4">
      <c r="A267" s="24" t="s">
        <v>739</v>
      </c>
      <c r="B267" s="19"/>
      <c r="C267" s="9"/>
      <c r="D267" s="20"/>
      <c r="E267" s="9"/>
      <c r="F267" s="21"/>
      <c r="G267" s="71"/>
      <c r="H267" s="13" t="s">
        <v>232</v>
      </c>
      <c r="I267" s="13" t="s">
        <v>143</v>
      </c>
      <c r="J267" s="13" t="s">
        <v>82</v>
      </c>
      <c r="K267" s="13" t="s">
        <v>172</v>
      </c>
      <c r="L267" s="18" t="s">
        <v>147</v>
      </c>
      <c r="M267" s="13" t="s">
        <v>165</v>
      </c>
      <c r="N267" s="13" t="s">
        <v>82</v>
      </c>
      <c r="O267" s="13" t="s">
        <v>79</v>
      </c>
      <c r="P267" s="13" t="s">
        <v>73</v>
      </c>
      <c r="Q267" s="13" t="s">
        <v>74</v>
      </c>
      <c r="R267" s="13" t="s">
        <v>347</v>
      </c>
      <c r="S267" s="13" t="s">
        <v>342</v>
      </c>
      <c r="T267" s="187"/>
      <c r="U267" s="187"/>
      <c r="V267" s="187"/>
      <c r="W267" s="314"/>
    </row>
    <row r="268" spans="1:23" ht="18" customHeight="1" x14ac:dyDescent="0.4">
      <c r="A268" s="185" t="s">
        <v>520</v>
      </c>
      <c r="B268" s="205">
        <f>(H268*K268)/O268</f>
        <v>0</v>
      </c>
      <c r="C268" s="200"/>
      <c r="D268" s="201">
        <f>IF($D$5=0,B268/$H$5,B268/$J$14)</f>
        <v>0</v>
      </c>
      <c r="E268" s="200"/>
      <c r="F268" s="218">
        <f>IF($F$5=0,(B268/($H$6/1000)),B268/$M$416)</f>
        <v>0</v>
      </c>
      <c r="G268" s="245">
        <f>B268/$B$313</f>
        <v>0</v>
      </c>
      <c r="H268" s="222">
        <f>(M268*($H$1*$AD$9)*N268)-(M268*($Y$9*$AD$9)*N268)</f>
        <v>0</v>
      </c>
      <c r="I268" s="204" t="str">
        <f t="shared" si="323"/>
        <v>gallon</v>
      </c>
      <c r="J268" s="204" t="s">
        <v>136</v>
      </c>
      <c r="K268" s="193">
        <f t="shared" si="324"/>
        <v>3.5</v>
      </c>
      <c r="L268" s="213" t="str">
        <f>CONCATENATE("/ ",I268)</f>
        <v>/ gallon</v>
      </c>
      <c r="M268" s="215">
        <v>2</v>
      </c>
      <c r="N268" s="204">
        <f>J147</f>
        <v>1</v>
      </c>
      <c r="O268" s="204">
        <f>O147</f>
        <v>10</v>
      </c>
      <c r="P268" s="83" t="s">
        <v>75</v>
      </c>
      <c r="Q268" s="83" t="s">
        <v>75</v>
      </c>
      <c r="R268" s="208">
        <f t="shared" ref="R268" si="333">M268*$AE$4</f>
        <v>0.22727272727272727</v>
      </c>
      <c r="S268" s="208">
        <f>R268</f>
        <v>0.22727272727272727</v>
      </c>
      <c r="T268" s="62"/>
      <c r="U268" s="62"/>
      <c r="V268" s="62"/>
      <c r="W268" s="323"/>
    </row>
    <row r="269" spans="1:23" ht="18" customHeight="1" x14ac:dyDescent="0.4">
      <c r="A269" s="185" t="s">
        <v>521</v>
      </c>
      <c r="B269" s="205">
        <f>(H269*K269)/O269</f>
        <v>0</v>
      </c>
      <c r="C269" s="200"/>
      <c r="D269" s="201">
        <f>IF($D$5=0,B269/$H$5,B269/$J$14)</f>
        <v>0</v>
      </c>
      <c r="E269" s="200"/>
      <c r="F269" s="218">
        <f>IF($F$5=0,(B269/($H$6/1000)),B269/$M$416)</f>
        <v>0</v>
      </c>
      <c r="G269" s="245">
        <f>B269/$B$313</f>
        <v>0</v>
      </c>
      <c r="H269" s="222">
        <f>(M269*($H$1*$AD$10)*N269)-(M269*($Y$9*$AD$10)*N269)</f>
        <v>0</v>
      </c>
      <c r="I269" s="204" t="str">
        <f t="shared" si="323"/>
        <v>gallon</v>
      </c>
      <c r="J269" s="204" t="s">
        <v>136</v>
      </c>
      <c r="K269" s="193">
        <f t="shared" si="324"/>
        <v>3.5</v>
      </c>
      <c r="L269" s="213" t="str">
        <f>CONCATENATE("/ ",I269)</f>
        <v>/ gallon</v>
      </c>
      <c r="M269" s="215">
        <v>3</v>
      </c>
      <c r="N269" s="204">
        <f>J148</f>
        <v>1</v>
      </c>
      <c r="O269" s="204">
        <f>O148</f>
        <v>10</v>
      </c>
      <c r="P269" s="83" t="s">
        <v>75</v>
      </c>
      <c r="Q269" s="83" t="s">
        <v>75</v>
      </c>
      <c r="R269" s="208">
        <f>M269*$AE$4</f>
        <v>0.34090909090909088</v>
      </c>
      <c r="S269" s="208">
        <f>R269</f>
        <v>0.34090909090909088</v>
      </c>
      <c r="T269" s="62"/>
      <c r="U269" s="62"/>
      <c r="V269" s="62"/>
      <c r="W269" s="323"/>
    </row>
    <row r="270" spans="1:23" ht="18" customHeight="1" x14ac:dyDescent="0.4">
      <c r="A270" s="185" t="s">
        <v>522</v>
      </c>
      <c r="B270" s="205">
        <f>(H270*K270)/O270</f>
        <v>0</v>
      </c>
      <c r="C270" s="200"/>
      <c r="D270" s="201">
        <f>IF($D$5=0,B270/$H$5,B270/$J$14)</f>
        <v>0</v>
      </c>
      <c r="E270" s="200"/>
      <c r="F270" s="218">
        <f>IF($F$5=0,(B270/($H$6/1000)),B270/$M$416)</f>
        <v>0</v>
      </c>
      <c r="G270" s="242">
        <f>B270/$B$313</f>
        <v>0</v>
      </c>
      <c r="H270" s="222">
        <f>(M270*($H$1*$AD$11)*N270)-(M270*($Y$9*$AD$11)*N270)</f>
        <v>0</v>
      </c>
      <c r="I270" s="204" t="str">
        <f t="shared" si="323"/>
        <v>gallon</v>
      </c>
      <c r="J270" s="204" t="s">
        <v>136</v>
      </c>
      <c r="K270" s="193">
        <f t="shared" si="324"/>
        <v>3.5</v>
      </c>
      <c r="L270" s="213" t="str">
        <f>CONCATENATE("/ ",I270)</f>
        <v>/ gallon</v>
      </c>
      <c r="M270" s="163">
        <v>0.61</v>
      </c>
      <c r="N270" s="204">
        <f>J149</f>
        <v>1</v>
      </c>
      <c r="O270" s="204">
        <f>O149</f>
        <v>10</v>
      </c>
      <c r="P270" s="83" t="s">
        <v>75</v>
      </c>
      <c r="Q270" s="83" t="s">
        <v>75</v>
      </c>
      <c r="R270" s="208">
        <f>M270*$AE$4</f>
        <v>6.931818181818182E-2</v>
      </c>
      <c r="S270" s="208">
        <f>R270</f>
        <v>6.931818181818182E-2</v>
      </c>
      <c r="T270" s="62"/>
      <c r="U270" s="62"/>
      <c r="V270" s="62"/>
      <c r="W270" s="323"/>
    </row>
    <row r="271" spans="1:23" ht="18" customHeight="1" x14ac:dyDescent="0.4">
      <c r="A271" s="185" t="s">
        <v>523</v>
      </c>
      <c r="B271" s="205">
        <f>(H271*K271)/O271</f>
        <v>5.1101928374655638E-2</v>
      </c>
      <c r="C271" s="200"/>
      <c r="D271" s="201">
        <f t="shared" ref="D271" si="334">IF($D$5=0,B271/$H$5,B271/$J$14)</f>
        <v>0.31089385474860337</v>
      </c>
      <c r="E271" s="200"/>
      <c r="F271" s="218">
        <f>IF($F$5=0,(B271/($H$6/1000)),B271/$M$416)</f>
        <v>7.1371408344491133E-3</v>
      </c>
      <c r="G271" s="242">
        <f>B271/$B$313</f>
        <v>1.0298979337273314E-4</v>
      </c>
      <c r="H271" s="222">
        <f>(M271*($H$1*$AD$12)*N271)-(M271*($Y$9*$AD$12)*N271)</f>
        <v>0.14600550964187325</v>
      </c>
      <c r="I271" s="204" t="str">
        <f t="shared" si="323"/>
        <v>gallon</v>
      </c>
      <c r="J271" s="204" t="s">
        <v>136</v>
      </c>
      <c r="K271" s="193">
        <f t="shared" si="324"/>
        <v>3.5</v>
      </c>
      <c r="L271" s="213" t="str">
        <f>CONCATENATE("/ ",I271)</f>
        <v>/ gallon</v>
      </c>
      <c r="M271" s="215">
        <v>1</v>
      </c>
      <c r="N271" s="204">
        <f>J150</f>
        <v>1</v>
      </c>
      <c r="O271" s="204">
        <f>O150</f>
        <v>10</v>
      </c>
      <c r="P271" s="83" t="s">
        <v>75</v>
      </c>
      <c r="Q271" s="83" t="s">
        <v>75</v>
      </c>
      <c r="R271" s="208">
        <f>M271*$AE$4</f>
        <v>0.11363636363636363</v>
      </c>
      <c r="S271" s="208">
        <f t="shared" ref="S271" si="335">R271</f>
        <v>0.11363636363636363</v>
      </c>
      <c r="T271" s="62"/>
      <c r="U271" s="62"/>
      <c r="V271" s="62"/>
      <c r="W271" s="323"/>
    </row>
    <row r="272" spans="1:23" ht="18" customHeight="1" x14ac:dyDescent="0.4">
      <c r="A272" s="24" t="s">
        <v>740</v>
      </c>
      <c r="B272" s="19"/>
      <c r="C272" s="9"/>
      <c r="D272" s="20"/>
      <c r="E272" s="9"/>
      <c r="F272" s="21"/>
      <c r="G272" s="71"/>
      <c r="H272" s="13" t="s">
        <v>232</v>
      </c>
      <c r="I272" s="13" t="s">
        <v>143</v>
      </c>
      <c r="J272" s="13" t="s">
        <v>82</v>
      </c>
      <c r="K272" s="13" t="s">
        <v>172</v>
      </c>
      <c r="L272" s="18" t="s">
        <v>147</v>
      </c>
      <c r="M272" s="13" t="s">
        <v>165</v>
      </c>
      <c r="N272" s="13" t="s">
        <v>82</v>
      </c>
      <c r="O272" s="13" t="s">
        <v>79</v>
      </c>
      <c r="P272" s="13" t="s">
        <v>73</v>
      </c>
      <c r="Q272" s="13" t="s">
        <v>74</v>
      </c>
      <c r="R272" s="13" t="s">
        <v>347</v>
      </c>
      <c r="S272" s="13" t="s">
        <v>342</v>
      </c>
      <c r="T272" s="187"/>
      <c r="U272" s="187"/>
      <c r="V272" s="187"/>
      <c r="W272" s="314"/>
    </row>
    <row r="273" spans="1:28" ht="18" customHeight="1" x14ac:dyDescent="0.4">
      <c r="A273" s="185" t="s">
        <v>520</v>
      </c>
      <c r="B273" s="205">
        <f t="shared" ref="B273:B279" si="336">(H273*K273)/O273</f>
        <v>0</v>
      </c>
      <c r="C273" s="200"/>
      <c r="D273" s="201">
        <f>IF($D$5=0,B273/$H$5,B273/$J$14)</f>
        <v>0</v>
      </c>
      <c r="E273" s="200"/>
      <c r="F273" s="218">
        <f t="shared" ref="F273:F280" si="337">IF($F$5=0,(B273/($H$6/1000)),B273/$M$416)</f>
        <v>0</v>
      </c>
      <c r="G273" s="245">
        <f t="shared" ref="G273:G280" si="338">B273/$B$313</f>
        <v>0</v>
      </c>
      <c r="H273" s="222">
        <f>M273*($H$1*$AD$9)*N273</f>
        <v>0</v>
      </c>
      <c r="I273" s="204" t="str">
        <f t="shared" si="323"/>
        <v>gallon</v>
      </c>
      <c r="J273" s="204" t="s">
        <v>136</v>
      </c>
      <c r="K273" s="193">
        <f t="shared" si="324"/>
        <v>3.5</v>
      </c>
      <c r="L273" s="213" t="str">
        <f t="shared" ref="L273:L279" si="339">CONCATENATE("/ ",I273)</f>
        <v>/ gallon</v>
      </c>
      <c r="M273" s="215">
        <v>2</v>
      </c>
      <c r="N273" s="204">
        <f t="shared" ref="N273:N280" si="340">J152</f>
        <v>0</v>
      </c>
      <c r="O273" s="204">
        <f t="shared" ref="O273:O280" si="341">O152</f>
        <v>10</v>
      </c>
      <c r="P273" s="83" t="s">
        <v>75</v>
      </c>
      <c r="Q273" s="83" t="s">
        <v>75</v>
      </c>
      <c r="R273" s="208">
        <f t="shared" ref="R273:R280" si="342">M273*$AE$4</f>
        <v>0.22727272727272727</v>
      </c>
      <c r="S273" s="208">
        <f>R273</f>
        <v>0.22727272727272727</v>
      </c>
      <c r="T273" s="62"/>
      <c r="U273" s="62"/>
      <c r="V273" s="62"/>
      <c r="W273" s="323"/>
    </row>
    <row r="274" spans="1:28" ht="18" customHeight="1" x14ac:dyDescent="0.4">
      <c r="A274" s="185" t="s">
        <v>521</v>
      </c>
      <c r="B274" s="205">
        <f t="shared" si="336"/>
        <v>0</v>
      </c>
      <c r="C274" s="200"/>
      <c r="D274" s="201">
        <f>IF($D$5=0,B274/$H$5,B274/$J$14)</f>
        <v>0</v>
      </c>
      <c r="E274" s="200"/>
      <c r="F274" s="218">
        <f t="shared" si="337"/>
        <v>0</v>
      </c>
      <c r="G274" s="245">
        <f t="shared" si="338"/>
        <v>0</v>
      </c>
      <c r="H274" s="222">
        <f>M274*($H$1*$AD$10)*N274</f>
        <v>0</v>
      </c>
      <c r="I274" s="204" t="str">
        <f t="shared" si="323"/>
        <v>gallon</v>
      </c>
      <c r="J274" s="204" t="s">
        <v>136</v>
      </c>
      <c r="K274" s="193">
        <f t="shared" si="324"/>
        <v>3.5</v>
      </c>
      <c r="L274" s="213" t="str">
        <f t="shared" si="339"/>
        <v>/ gallon</v>
      </c>
      <c r="M274" s="215">
        <v>3</v>
      </c>
      <c r="N274" s="204">
        <f t="shared" si="340"/>
        <v>0</v>
      </c>
      <c r="O274" s="204">
        <f t="shared" si="341"/>
        <v>10</v>
      </c>
      <c r="P274" s="83" t="s">
        <v>75</v>
      </c>
      <c r="Q274" s="83" t="s">
        <v>75</v>
      </c>
      <c r="R274" s="208">
        <f>M274*$AE$4</f>
        <v>0.34090909090909088</v>
      </c>
      <c r="S274" s="208">
        <f>R274</f>
        <v>0.34090909090909088</v>
      </c>
      <c r="T274" s="62"/>
      <c r="U274" s="62"/>
      <c r="V274" s="62"/>
      <c r="W274" s="323"/>
    </row>
    <row r="275" spans="1:28" ht="18" customHeight="1" x14ac:dyDescent="0.4">
      <c r="A275" s="185" t="s">
        <v>522</v>
      </c>
      <c r="B275" s="205">
        <f t="shared" si="336"/>
        <v>0</v>
      </c>
      <c r="C275" s="200"/>
      <c r="D275" s="201">
        <f>IF($D$5=0,B275/$H$5,B275/$J$14)</f>
        <v>0</v>
      </c>
      <c r="E275" s="200"/>
      <c r="F275" s="218">
        <f t="shared" si="337"/>
        <v>0</v>
      </c>
      <c r="G275" s="242">
        <f t="shared" si="338"/>
        <v>0</v>
      </c>
      <c r="H275" s="222">
        <f>M275*($H$1*$AD$11)*N275</f>
        <v>0</v>
      </c>
      <c r="I275" s="204" t="str">
        <f t="shared" si="323"/>
        <v>gallon</v>
      </c>
      <c r="J275" s="204" t="s">
        <v>136</v>
      </c>
      <c r="K275" s="193">
        <f t="shared" si="324"/>
        <v>3.5</v>
      </c>
      <c r="L275" s="213" t="str">
        <f t="shared" si="339"/>
        <v>/ gallon</v>
      </c>
      <c r="M275" s="163">
        <v>0.61</v>
      </c>
      <c r="N275" s="204">
        <f t="shared" si="340"/>
        <v>0</v>
      </c>
      <c r="O275" s="204">
        <f t="shared" si="341"/>
        <v>10</v>
      </c>
      <c r="P275" s="83" t="s">
        <v>75</v>
      </c>
      <c r="Q275" s="83" t="s">
        <v>75</v>
      </c>
      <c r="R275" s="208">
        <f>M275*$AE$4</f>
        <v>6.931818181818182E-2</v>
      </c>
      <c r="S275" s="208">
        <f>R275</f>
        <v>6.931818181818182E-2</v>
      </c>
      <c r="T275" s="62"/>
      <c r="U275" s="62"/>
      <c r="V275" s="62"/>
      <c r="W275" s="323"/>
    </row>
    <row r="276" spans="1:28" ht="18" customHeight="1" x14ac:dyDescent="0.4">
      <c r="A276" s="185" t="s">
        <v>523</v>
      </c>
      <c r="B276" s="205">
        <f t="shared" si="336"/>
        <v>0</v>
      </c>
      <c r="C276" s="200"/>
      <c r="D276" s="201">
        <f t="shared" ref="D276" si="343">IF($D$5=0,B276/$H$5,B276/$J$14)</f>
        <v>0</v>
      </c>
      <c r="E276" s="200"/>
      <c r="F276" s="218">
        <f t="shared" si="337"/>
        <v>0</v>
      </c>
      <c r="G276" s="242">
        <f t="shared" si="338"/>
        <v>0</v>
      </c>
      <c r="H276" s="222">
        <f>M276*($H$1*$AD$12)*N276</f>
        <v>0</v>
      </c>
      <c r="I276" s="204" t="str">
        <f t="shared" si="323"/>
        <v>gallon</v>
      </c>
      <c r="J276" s="204" t="s">
        <v>136</v>
      </c>
      <c r="K276" s="193">
        <f t="shared" si="324"/>
        <v>3.5</v>
      </c>
      <c r="L276" s="213" t="str">
        <f t="shared" si="339"/>
        <v>/ gallon</v>
      </c>
      <c r="M276" s="215">
        <v>1</v>
      </c>
      <c r="N276" s="204">
        <f t="shared" si="340"/>
        <v>0</v>
      </c>
      <c r="O276" s="204">
        <f t="shared" si="341"/>
        <v>10</v>
      </c>
      <c r="P276" s="83" t="s">
        <v>75</v>
      </c>
      <c r="Q276" s="83" t="s">
        <v>75</v>
      </c>
      <c r="R276" s="208">
        <f>M276*$AE$4</f>
        <v>0.11363636363636363</v>
      </c>
      <c r="S276" s="208">
        <f t="shared" ref="S276" si="344">R276</f>
        <v>0.11363636363636363</v>
      </c>
      <c r="T276" s="62"/>
      <c r="U276" s="62"/>
      <c r="V276" s="62"/>
      <c r="W276" s="323"/>
    </row>
    <row r="277" spans="1:28" ht="18" customHeight="1" x14ac:dyDescent="0.4">
      <c r="A277" s="185" t="s">
        <v>524</v>
      </c>
      <c r="B277" s="205">
        <f t="shared" si="336"/>
        <v>0</v>
      </c>
      <c r="C277" s="200"/>
      <c r="D277" s="201">
        <f>IF($D$5=0,B277/$H$5,B277/$J$14)</f>
        <v>0</v>
      </c>
      <c r="E277" s="200"/>
      <c r="F277" s="218">
        <f t="shared" si="337"/>
        <v>0</v>
      </c>
      <c r="G277" s="245">
        <f t="shared" si="338"/>
        <v>0</v>
      </c>
      <c r="H277" s="222">
        <f>M277*($T$15*$AD$9)*N277</f>
        <v>0</v>
      </c>
      <c r="I277" s="204" t="str">
        <f t="shared" si="323"/>
        <v>gallon</v>
      </c>
      <c r="J277" s="204" t="s">
        <v>136</v>
      </c>
      <c r="K277" s="193">
        <f t="shared" si="324"/>
        <v>3.5</v>
      </c>
      <c r="L277" s="213" t="str">
        <f t="shared" si="339"/>
        <v>/ gallon</v>
      </c>
      <c r="M277" s="215">
        <v>2</v>
      </c>
      <c r="N277" s="204">
        <f t="shared" si="340"/>
        <v>1</v>
      </c>
      <c r="O277" s="204">
        <f t="shared" si="341"/>
        <v>10</v>
      </c>
      <c r="P277" s="83" t="s">
        <v>75</v>
      </c>
      <c r="Q277" s="83" t="s">
        <v>75</v>
      </c>
      <c r="R277" s="208">
        <f t="shared" si="342"/>
        <v>0.22727272727272727</v>
      </c>
      <c r="S277" s="208">
        <f>R277</f>
        <v>0.22727272727272727</v>
      </c>
      <c r="T277" s="62"/>
      <c r="U277" s="62"/>
      <c r="V277" s="62"/>
      <c r="W277" s="323"/>
    </row>
    <row r="278" spans="1:28" ht="18" customHeight="1" x14ac:dyDescent="0.4">
      <c r="A278" s="185" t="s">
        <v>525</v>
      </c>
      <c r="B278" s="205">
        <f t="shared" si="336"/>
        <v>0</v>
      </c>
      <c r="C278" s="200"/>
      <c r="D278" s="201">
        <f>IF($D$5=0,B278/$H$5,B278/$J$14)</f>
        <v>0</v>
      </c>
      <c r="E278" s="200"/>
      <c r="F278" s="218">
        <f t="shared" si="337"/>
        <v>0</v>
      </c>
      <c r="G278" s="245">
        <f t="shared" si="338"/>
        <v>0</v>
      </c>
      <c r="H278" s="222">
        <f>M278*($T$15*$AD$10)*N278</f>
        <v>0</v>
      </c>
      <c r="I278" s="204" t="str">
        <f t="shared" si="323"/>
        <v>gallon</v>
      </c>
      <c r="J278" s="204" t="s">
        <v>136</v>
      </c>
      <c r="K278" s="193">
        <f t="shared" si="324"/>
        <v>3.5</v>
      </c>
      <c r="L278" s="213" t="str">
        <f t="shared" si="339"/>
        <v>/ gallon</v>
      </c>
      <c r="M278" s="215">
        <v>3</v>
      </c>
      <c r="N278" s="204">
        <f t="shared" si="340"/>
        <v>1</v>
      </c>
      <c r="O278" s="204">
        <f t="shared" si="341"/>
        <v>10</v>
      </c>
      <c r="P278" s="83" t="s">
        <v>75</v>
      </c>
      <c r="Q278" s="83" t="s">
        <v>75</v>
      </c>
      <c r="R278" s="208">
        <f t="shared" si="342"/>
        <v>0.34090909090909088</v>
      </c>
      <c r="S278" s="208">
        <f>R278</f>
        <v>0.34090909090909088</v>
      </c>
      <c r="T278" s="62"/>
      <c r="U278" s="62"/>
      <c r="V278" s="62"/>
      <c r="W278" s="323"/>
    </row>
    <row r="279" spans="1:28" ht="18" customHeight="1" x14ac:dyDescent="0.4">
      <c r="A279" s="185" t="s">
        <v>526</v>
      </c>
      <c r="B279" s="205">
        <f t="shared" si="336"/>
        <v>0</v>
      </c>
      <c r="C279" s="200"/>
      <c r="D279" s="201">
        <f>IF($D$5=0,B279/$H$5,B279/$J$14)</f>
        <v>0</v>
      </c>
      <c r="E279" s="200"/>
      <c r="F279" s="218">
        <f t="shared" si="337"/>
        <v>0</v>
      </c>
      <c r="G279" s="242">
        <f t="shared" si="338"/>
        <v>0</v>
      </c>
      <c r="H279" s="222">
        <f>M279*($T$15*$AD$11)*N279</f>
        <v>0</v>
      </c>
      <c r="I279" s="204" t="str">
        <f t="shared" si="323"/>
        <v>gallon</v>
      </c>
      <c r="J279" s="204" t="s">
        <v>136</v>
      </c>
      <c r="K279" s="193">
        <f t="shared" si="324"/>
        <v>3.5</v>
      </c>
      <c r="L279" s="213" t="str">
        <f t="shared" si="339"/>
        <v>/ gallon</v>
      </c>
      <c r="M279" s="163">
        <v>0.61</v>
      </c>
      <c r="N279" s="204">
        <f t="shared" si="340"/>
        <v>1</v>
      </c>
      <c r="O279" s="204">
        <f t="shared" si="341"/>
        <v>10</v>
      </c>
      <c r="P279" s="83" t="s">
        <v>75</v>
      </c>
      <c r="Q279" s="83" t="s">
        <v>75</v>
      </c>
      <c r="R279" s="208">
        <f t="shared" si="342"/>
        <v>6.931818181818182E-2</v>
      </c>
      <c r="S279" s="208">
        <f>R279</f>
        <v>6.931818181818182E-2</v>
      </c>
      <c r="T279" s="62"/>
      <c r="U279" s="62"/>
      <c r="V279" s="62"/>
      <c r="W279" s="323"/>
    </row>
    <row r="280" spans="1:28" ht="18" customHeight="1" x14ac:dyDescent="0.4">
      <c r="A280" s="185" t="s">
        <v>527</v>
      </c>
      <c r="B280" s="205">
        <f t="shared" ref="B280" si="345">(H280*K280)/O280</f>
        <v>2.0730027548209358E-2</v>
      </c>
      <c r="C280" s="200"/>
      <c r="D280" s="201">
        <f t="shared" ref="D280" si="346">IF($D$5=0,B280/$H$5,B280/$J$14)</f>
        <v>0.12611731843575416</v>
      </c>
      <c r="E280" s="200"/>
      <c r="F280" s="218">
        <f t="shared" si="337"/>
        <v>2.8952552441633187E-3</v>
      </c>
      <c r="G280" s="242">
        <f t="shared" si="338"/>
        <v>4.1778878443655882E-5</v>
      </c>
      <c r="H280" s="222">
        <f>M280*($T$15*$AD$12)*N280</f>
        <v>5.9228650137741028E-2</v>
      </c>
      <c r="I280" s="204" t="str">
        <f t="shared" si="323"/>
        <v>gallon</v>
      </c>
      <c r="J280" s="204" t="s">
        <v>136</v>
      </c>
      <c r="K280" s="193">
        <f t="shared" si="324"/>
        <v>3.5</v>
      </c>
      <c r="L280" s="213" t="str">
        <f t="shared" ref="L280" si="347">CONCATENATE("/ ",I280)</f>
        <v>/ gallon</v>
      </c>
      <c r="M280" s="215">
        <v>1</v>
      </c>
      <c r="N280" s="204">
        <f t="shared" si="340"/>
        <v>1</v>
      </c>
      <c r="O280" s="204">
        <f t="shared" si="341"/>
        <v>10</v>
      </c>
      <c r="P280" s="83" t="s">
        <v>75</v>
      </c>
      <c r="Q280" s="83" t="s">
        <v>75</v>
      </c>
      <c r="R280" s="208">
        <f t="shared" si="342"/>
        <v>0.11363636363636363</v>
      </c>
      <c r="S280" s="208">
        <f t="shared" ref="S280" si="348">R280</f>
        <v>0.11363636363636363</v>
      </c>
      <c r="T280" s="62"/>
      <c r="U280" s="62"/>
      <c r="V280" s="62"/>
      <c r="W280" s="323"/>
    </row>
    <row r="281" spans="1:28" ht="18" customHeight="1" x14ac:dyDescent="0.4">
      <c r="A281" s="24" t="s">
        <v>741</v>
      </c>
      <c r="B281" s="19"/>
      <c r="C281" s="9"/>
      <c r="D281" s="20"/>
      <c r="E281" s="9"/>
      <c r="F281" s="21"/>
      <c r="G281" s="71"/>
      <c r="H281" s="13" t="s">
        <v>232</v>
      </c>
      <c r="I281" s="13" t="s">
        <v>143</v>
      </c>
      <c r="J281" s="13" t="s">
        <v>82</v>
      </c>
      <c r="K281" s="13" t="s">
        <v>172</v>
      </c>
      <c r="L281" s="18" t="s">
        <v>147</v>
      </c>
      <c r="M281" s="13" t="s">
        <v>165</v>
      </c>
      <c r="N281" s="13" t="s">
        <v>82</v>
      </c>
      <c r="O281" s="13" t="s">
        <v>79</v>
      </c>
      <c r="P281" s="13" t="s">
        <v>73</v>
      </c>
      <c r="Q281" s="13" t="s">
        <v>74</v>
      </c>
      <c r="R281" s="13" t="s">
        <v>347</v>
      </c>
      <c r="S281" s="13" t="s">
        <v>342</v>
      </c>
      <c r="T281" s="187"/>
      <c r="U281" s="187"/>
      <c r="V281" s="187"/>
      <c r="W281" s="314"/>
    </row>
    <row r="282" spans="1:28" ht="18" customHeight="1" x14ac:dyDescent="0.4">
      <c r="A282" s="185" t="s">
        <v>524</v>
      </c>
      <c r="B282" s="205">
        <f>(H282*K282)/O282</f>
        <v>0</v>
      </c>
      <c r="C282" s="200"/>
      <c r="D282" s="201">
        <f>IF($D$5=0,B282/$H$5,B282/$J$14)</f>
        <v>0</v>
      </c>
      <c r="E282" s="200"/>
      <c r="F282" s="218">
        <f t="shared" ref="F282:F287" si="349">IF($F$5=0,(B282/($H$6/1000)),B282/$M$416)</f>
        <v>0</v>
      </c>
      <c r="G282" s="245">
        <f t="shared" ref="G282:G287" si="350">B282/$B$313</f>
        <v>0</v>
      </c>
      <c r="H282" s="222">
        <f>M282*($H$1*$AD$9)*N282</f>
        <v>0</v>
      </c>
      <c r="I282" s="204" t="str">
        <f t="shared" si="323"/>
        <v>gallon</v>
      </c>
      <c r="J282" s="204" t="s">
        <v>136</v>
      </c>
      <c r="K282" s="193">
        <f t="shared" si="324"/>
        <v>3.5</v>
      </c>
      <c r="L282" s="213" t="str">
        <f>CONCATENATE("/ ",I282)</f>
        <v>/ gallon</v>
      </c>
      <c r="M282" s="215">
        <v>2</v>
      </c>
      <c r="N282" s="204">
        <f>J161</f>
        <v>1</v>
      </c>
      <c r="O282" s="204">
        <f>O161</f>
        <v>10</v>
      </c>
      <c r="P282" s="83" t="s">
        <v>75</v>
      </c>
      <c r="Q282" s="83" t="s">
        <v>75</v>
      </c>
      <c r="R282" s="208">
        <f t="shared" ref="R282:R285" si="351">M282*$AE$4</f>
        <v>0.22727272727272727</v>
      </c>
      <c r="S282" s="208">
        <f>R282</f>
        <v>0.22727272727272727</v>
      </c>
      <c r="T282" s="62"/>
      <c r="U282" s="62"/>
      <c r="V282" s="62"/>
      <c r="W282" s="323"/>
    </row>
    <row r="283" spans="1:28" ht="18" customHeight="1" x14ac:dyDescent="0.4">
      <c r="A283" s="185" t="s">
        <v>525</v>
      </c>
      <c r="B283" s="205">
        <f>(H283*K283)/O283</f>
        <v>0</v>
      </c>
      <c r="C283" s="200"/>
      <c r="D283" s="201">
        <f>IF($D$5=0,B283/$H$5,B283/$J$14)</f>
        <v>0</v>
      </c>
      <c r="E283" s="200"/>
      <c r="F283" s="218">
        <f t="shared" si="349"/>
        <v>0</v>
      </c>
      <c r="G283" s="245">
        <f t="shared" si="350"/>
        <v>0</v>
      </c>
      <c r="H283" s="222">
        <f>M283*($H$1*$AD$10)*N283</f>
        <v>0</v>
      </c>
      <c r="I283" s="204" t="str">
        <f t="shared" si="323"/>
        <v>gallon</v>
      </c>
      <c r="J283" s="204" t="s">
        <v>136</v>
      </c>
      <c r="K283" s="193">
        <f t="shared" si="324"/>
        <v>3.5</v>
      </c>
      <c r="L283" s="213" t="str">
        <f>CONCATENATE("/ ",I283)</f>
        <v>/ gallon</v>
      </c>
      <c r="M283" s="215">
        <v>3</v>
      </c>
      <c r="N283" s="204">
        <f>J162</f>
        <v>1</v>
      </c>
      <c r="O283" s="204">
        <f>O162</f>
        <v>10</v>
      </c>
      <c r="P283" s="83" t="s">
        <v>75</v>
      </c>
      <c r="Q283" s="83" t="s">
        <v>75</v>
      </c>
      <c r="R283" s="208">
        <f t="shared" si="351"/>
        <v>0.34090909090909088</v>
      </c>
      <c r="S283" s="208">
        <f>R283</f>
        <v>0.34090909090909088</v>
      </c>
      <c r="T283" s="62"/>
      <c r="U283" s="62"/>
      <c r="V283" s="62"/>
      <c r="W283" s="323"/>
    </row>
    <row r="284" spans="1:28" ht="18" customHeight="1" x14ac:dyDescent="0.4">
      <c r="A284" s="185" t="s">
        <v>526</v>
      </c>
      <c r="B284" s="205">
        <f>(H284*K284)/O284</f>
        <v>0</v>
      </c>
      <c r="C284" s="200"/>
      <c r="D284" s="201">
        <f>IF($D$5=0,B284/$H$5,B284/$J$14)</f>
        <v>0</v>
      </c>
      <c r="E284" s="200"/>
      <c r="F284" s="218">
        <f t="shared" si="349"/>
        <v>0</v>
      </c>
      <c r="G284" s="245">
        <f t="shared" si="350"/>
        <v>0</v>
      </c>
      <c r="H284" s="222">
        <f>M284*($H$1*$AD$11)*N284</f>
        <v>0</v>
      </c>
      <c r="I284" s="204" t="str">
        <f t="shared" si="323"/>
        <v>gallon</v>
      </c>
      <c r="J284" s="204" t="s">
        <v>136</v>
      </c>
      <c r="K284" s="193">
        <f t="shared" si="324"/>
        <v>3.5</v>
      </c>
      <c r="L284" s="213" t="str">
        <f>CONCATENATE("/ ",I284)</f>
        <v>/ gallon</v>
      </c>
      <c r="M284" s="163">
        <v>0.61</v>
      </c>
      <c r="N284" s="204">
        <f>J163</f>
        <v>1</v>
      </c>
      <c r="O284" s="204">
        <f>O163</f>
        <v>10</v>
      </c>
      <c r="P284" s="83" t="s">
        <v>75</v>
      </c>
      <c r="Q284" s="83" t="s">
        <v>75</v>
      </c>
      <c r="R284" s="208">
        <f t="shared" si="351"/>
        <v>6.931818181818182E-2</v>
      </c>
      <c r="S284" s="208">
        <f>R284</f>
        <v>6.931818181818182E-2</v>
      </c>
      <c r="T284" s="62"/>
      <c r="U284" s="62"/>
      <c r="V284" s="62"/>
      <c r="W284" s="323"/>
    </row>
    <row r="285" spans="1:28" ht="18" customHeight="1" x14ac:dyDescent="0.4">
      <c r="A285" s="185" t="s">
        <v>527</v>
      </c>
      <c r="B285" s="205">
        <f t="shared" ref="B285" si="352">(H285*K285)/O285</f>
        <v>5.7529843893480238E-2</v>
      </c>
      <c r="C285" s="200"/>
      <c r="D285" s="201">
        <f t="shared" ref="D285" si="353">IF($D$5=0,B285/$H$5,B285/$J$14)</f>
        <v>0.35</v>
      </c>
      <c r="E285" s="200"/>
      <c r="F285" s="218">
        <f t="shared" si="349"/>
        <v>8.0348943985307612E-3</v>
      </c>
      <c r="G285" s="242">
        <f t="shared" si="350"/>
        <v>1.1594448436301401E-4</v>
      </c>
      <c r="H285" s="222">
        <f>M285*($H$1*$AD$12)*N285</f>
        <v>0.16437098255280069</v>
      </c>
      <c r="I285" s="204" t="str">
        <f t="shared" si="323"/>
        <v>gallon</v>
      </c>
      <c r="J285" s="204" t="s">
        <v>136</v>
      </c>
      <c r="K285" s="193">
        <f t="shared" si="324"/>
        <v>3.5</v>
      </c>
      <c r="L285" s="213" t="str">
        <f t="shared" ref="L285" si="354">CONCATENATE("/ ",I285)</f>
        <v>/ gallon</v>
      </c>
      <c r="M285" s="215">
        <v>1</v>
      </c>
      <c r="N285" s="204">
        <f>J164</f>
        <v>1</v>
      </c>
      <c r="O285" s="204">
        <f>O164</f>
        <v>10</v>
      </c>
      <c r="P285" s="83" t="s">
        <v>75</v>
      </c>
      <c r="Q285" s="83" t="s">
        <v>75</v>
      </c>
      <c r="R285" s="208">
        <f t="shared" si="351"/>
        <v>0.11363636363636363</v>
      </c>
      <c r="S285" s="208">
        <f t="shared" ref="S285" si="355">R285</f>
        <v>0.11363636363636363</v>
      </c>
      <c r="T285" s="62"/>
      <c r="U285" s="62"/>
      <c r="V285" s="62"/>
      <c r="W285" s="323"/>
    </row>
    <row r="286" spans="1:28" ht="18" customHeight="1" x14ac:dyDescent="0.4">
      <c r="A286" s="246" t="s">
        <v>137</v>
      </c>
      <c r="B286" s="205">
        <f t="shared" si="331"/>
        <v>2.1696969696969695</v>
      </c>
      <c r="C286" s="200"/>
      <c r="D286" s="201">
        <f t="shared" ref="D286" si="356">IF($D$5=0,B286/$H$5,B286/$J$14)</f>
        <v>13.200000000000001</v>
      </c>
      <c r="E286" s="200"/>
      <c r="F286" s="201">
        <f t="shared" si="349"/>
        <v>0.30303030303030304</v>
      </c>
      <c r="G286" s="242">
        <f t="shared" si="350"/>
        <v>4.3727634102622434E-3</v>
      </c>
      <c r="H286" s="222">
        <f t="shared" si="322"/>
        <v>0.72323232323232312</v>
      </c>
      <c r="I286" s="83" t="s">
        <v>210</v>
      </c>
      <c r="J286" s="204" t="s">
        <v>136</v>
      </c>
      <c r="K286" s="6">
        <v>3</v>
      </c>
      <c r="L286" s="213" t="str">
        <f t="shared" si="325"/>
        <v>/ quart</v>
      </c>
      <c r="M286" s="222">
        <f>S286/$AE$4</f>
        <v>4.4000000000000004</v>
      </c>
      <c r="N286" s="83">
        <v>1</v>
      </c>
      <c r="O286" s="83">
        <v>1</v>
      </c>
      <c r="P286" s="83" t="s">
        <v>75</v>
      </c>
      <c r="Q286" s="83" t="s">
        <v>75</v>
      </c>
      <c r="R286" s="83">
        <v>0.5</v>
      </c>
      <c r="S286" s="222">
        <f t="shared" ref="S286" si="357">R286</f>
        <v>0.5</v>
      </c>
      <c r="T286" s="61"/>
      <c r="U286" s="61"/>
      <c r="V286" s="61"/>
      <c r="W286" s="322"/>
    </row>
    <row r="287" spans="1:28" ht="18" customHeight="1" x14ac:dyDescent="0.4">
      <c r="A287" s="164" t="s">
        <v>137</v>
      </c>
      <c r="B287" s="159">
        <f t="shared" ref="B287" si="358">(H287*K287)/O287</f>
        <v>0</v>
      </c>
      <c r="C287" s="9"/>
      <c r="D287" s="20">
        <f t="shared" si="321"/>
        <v>0</v>
      </c>
      <c r="E287" s="9"/>
      <c r="F287" s="81">
        <f t="shared" si="349"/>
        <v>0</v>
      </c>
      <c r="G287" s="71">
        <f t="shared" si="350"/>
        <v>0</v>
      </c>
      <c r="H287" s="29">
        <f t="shared" si="322"/>
        <v>0</v>
      </c>
      <c r="I287" s="83" t="s">
        <v>210</v>
      </c>
      <c r="J287" s="29" t="s">
        <v>136</v>
      </c>
      <c r="K287" s="6">
        <v>3</v>
      </c>
      <c r="L287" s="10" t="str">
        <f t="shared" si="325"/>
        <v>/ quart</v>
      </c>
      <c r="M287" s="60">
        <f>S287/$AE$4</f>
        <v>4.4000000000000004</v>
      </c>
      <c r="N287" s="83">
        <v>0</v>
      </c>
      <c r="O287" s="83">
        <v>1</v>
      </c>
      <c r="P287" s="83" t="s">
        <v>75</v>
      </c>
      <c r="Q287" s="83" t="s">
        <v>75</v>
      </c>
      <c r="R287" s="83">
        <v>0.5</v>
      </c>
      <c r="S287" s="60">
        <f t="shared" si="292"/>
        <v>0.5</v>
      </c>
      <c r="T287" s="60"/>
      <c r="U287" s="60"/>
      <c r="V287" s="60"/>
      <c r="W287" s="321"/>
      <c r="Z287" s="21">
        <f>SUM(B178:B287)</f>
        <v>3.0654269972451775</v>
      </c>
      <c r="AA287" s="21">
        <f>SUM(D178:D287)</f>
        <v>18.649441340782118</v>
      </c>
      <c r="AB287" s="74" t="s">
        <v>301</v>
      </c>
    </row>
    <row r="288" spans="1:28" ht="18" customHeight="1" x14ac:dyDescent="0.4">
      <c r="A288" s="24" t="s">
        <v>67</v>
      </c>
      <c r="B288" s="28"/>
      <c r="C288" s="9"/>
      <c r="D288" s="17"/>
      <c r="E288" s="9"/>
      <c r="F288" s="17"/>
      <c r="G288" s="70"/>
      <c r="H288" s="13" t="s">
        <v>232</v>
      </c>
      <c r="I288" s="13" t="s">
        <v>143</v>
      </c>
      <c r="J288" s="13" t="s">
        <v>82</v>
      </c>
      <c r="K288" s="13" t="s">
        <v>172</v>
      </c>
      <c r="L288" s="18" t="s">
        <v>147</v>
      </c>
      <c r="M288" s="13" t="s">
        <v>165</v>
      </c>
      <c r="N288" s="13" t="s">
        <v>82</v>
      </c>
      <c r="O288" s="13" t="s">
        <v>79</v>
      </c>
      <c r="P288" s="13" t="s">
        <v>73</v>
      </c>
      <c r="Q288" s="13" t="s">
        <v>74</v>
      </c>
      <c r="R288" s="13" t="s">
        <v>347</v>
      </c>
      <c r="S288" s="13" t="s">
        <v>342</v>
      </c>
      <c r="T288" s="187"/>
      <c r="U288" s="187"/>
      <c r="V288" s="187"/>
      <c r="W288" s="314"/>
      <c r="Z288" s="11"/>
      <c r="AB288" s="145"/>
    </row>
    <row r="289" spans="1:28" ht="18" customHeight="1" x14ac:dyDescent="0.4">
      <c r="A289" s="27" t="s">
        <v>94</v>
      </c>
      <c r="B289" s="19">
        <f t="shared" ref="B289:B293" si="359">(H289*K289)/O289</f>
        <v>0</v>
      </c>
      <c r="C289" s="9"/>
      <c r="D289" s="20">
        <f t="shared" ref="D289:D311" si="360">IF($D$5=0,B289/$H$5,B289/$J$14)</f>
        <v>0</v>
      </c>
      <c r="E289" s="9"/>
      <c r="F289" s="81">
        <f t="shared" ref="F289:F295" si="361">IF($F$5=0,(B289/($H$6/1000)),B289/$M$416)</f>
        <v>0</v>
      </c>
      <c r="G289" s="71">
        <f t="shared" ref="G289:G295" si="362">B289/$B$313</f>
        <v>0</v>
      </c>
      <c r="H289" s="29">
        <f>M289*$H$5*N289</f>
        <v>0</v>
      </c>
      <c r="I289" s="83" t="s">
        <v>64</v>
      </c>
      <c r="J289" s="29" t="s">
        <v>136</v>
      </c>
      <c r="K289" s="6">
        <v>0</v>
      </c>
      <c r="L289" s="10" t="str">
        <f t="shared" ref="L289:L295" si="363">CONCATENATE("/ ",I289)</f>
        <v>/ gallon</v>
      </c>
      <c r="M289" s="60">
        <f>S289/$AE$4</f>
        <v>0</v>
      </c>
      <c r="N289" s="83">
        <v>0</v>
      </c>
      <c r="O289" s="83">
        <v>1</v>
      </c>
      <c r="P289" s="83" t="s">
        <v>75</v>
      </c>
      <c r="Q289" s="83" t="s">
        <v>75</v>
      </c>
      <c r="R289" s="83">
        <v>0</v>
      </c>
      <c r="S289" s="61">
        <f t="shared" si="292"/>
        <v>0</v>
      </c>
      <c r="T289" s="61"/>
      <c r="U289" s="61"/>
      <c r="V289" s="61"/>
      <c r="W289" s="322"/>
      <c r="Z289" s="11"/>
      <c r="AB289" s="145"/>
    </row>
    <row r="290" spans="1:28" ht="18" customHeight="1" x14ac:dyDescent="0.4">
      <c r="A290" s="27" t="s">
        <v>93</v>
      </c>
      <c r="B290" s="19">
        <f t="shared" si="359"/>
        <v>0</v>
      </c>
      <c r="C290" s="9"/>
      <c r="D290" s="20">
        <f t="shared" si="360"/>
        <v>0</v>
      </c>
      <c r="E290" s="9"/>
      <c r="F290" s="81">
        <f t="shared" si="361"/>
        <v>0</v>
      </c>
      <c r="G290" s="71">
        <f t="shared" si="362"/>
        <v>0</v>
      </c>
      <c r="H290" s="29">
        <f>M290*$H$5*N290</f>
        <v>0</v>
      </c>
      <c r="I290" s="83" t="s">
        <v>64</v>
      </c>
      <c r="J290" s="29" t="s">
        <v>136</v>
      </c>
      <c r="K290" s="6">
        <v>0</v>
      </c>
      <c r="L290" s="10" t="str">
        <f t="shared" si="363"/>
        <v>/ gallon</v>
      </c>
      <c r="M290" s="60">
        <f>S290/$AE$4</f>
        <v>0</v>
      </c>
      <c r="N290" s="83">
        <v>0</v>
      </c>
      <c r="O290" s="83">
        <v>1</v>
      </c>
      <c r="P290" s="83" t="s">
        <v>75</v>
      </c>
      <c r="Q290" s="83" t="s">
        <v>75</v>
      </c>
      <c r="R290" s="83">
        <v>0</v>
      </c>
      <c r="S290" s="61">
        <f t="shared" si="292"/>
        <v>0</v>
      </c>
      <c r="T290" s="61"/>
      <c r="U290" s="61"/>
      <c r="V290" s="61"/>
      <c r="W290" s="322"/>
      <c r="Z290" s="11"/>
      <c r="AB290" s="145"/>
    </row>
    <row r="291" spans="1:28" ht="18" customHeight="1" x14ac:dyDescent="0.4">
      <c r="A291" s="27" t="s">
        <v>95</v>
      </c>
      <c r="B291" s="19">
        <f t="shared" si="359"/>
        <v>0</v>
      </c>
      <c r="C291" s="9"/>
      <c r="D291" s="20">
        <f t="shared" si="360"/>
        <v>0</v>
      </c>
      <c r="E291" s="9"/>
      <c r="F291" s="81">
        <f t="shared" si="361"/>
        <v>0</v>
      </c>
      <c r="G291" s="71">
        <f t="shared" si="362"/>
        <v>0</v>
      </c>
      <c r="H291" s="29">
        <f>M291*$H$5*N291</f>
        <v>0</v>
      </c>
      <c r="I291" s="83" t="s">
        <v>146</v>
      </c>
      <c r="J291" s="29" t="s">
        <v>136</v>
      </c>
      <c r="K291" s="6">
        <v>0</v>
      </c>
      <c r="L291" s="10" t="str">
        <f t="shared" si="363"/>
        <v>/ cord</v>
      </c>
      <c r="M291" s="60">
        <f>S291/$AE$4</f>
        <v>0</v>
      </c>
      <c r="N291" s="83">
        <v>0</v>
      </c>
      <c r="O291" s="83">
        <v>1</v>
      </c>
      <c r="P291" s="83" t="s">
        <v>75</v>
      </c>
      <c r="Q291" s="83" t="s">
        <v>75</v>
      </c>
      <c r="R291" s="83">
        <v>0</v>
      </c>
      <c r="S291" s="61">
        <f t="shared" si="292"/>
        <v>0</v>
      </c>
      <c r="T291" s="61"/>
      <c r="U291" s="61"/>
      <c r="V291" s="61"/>
      <c r="W291" s="322"/>
      <c r="Z291" s="11"/>
      <c r="AB291" s="145"/>
    </row>
    <row r="292" spans="1:28" ht="18" customHeight="1" x14ac:dyDescent="0.4">
      <c r="A292" s="2" t="s">
        <v>96</v>
      </c>
      <c r="B292" s="19">
        <f t="shared" si="359"/>
        <v>0</v>
      </c>
      <c r="C292" s="9"/>
      <c r="D292" s="20">
        <f t="shared" si="360"/>
        <v>0</v>
      </c>
      <c r="E292" s="9"/>
      <c r="F292" s="81">
        <f t="shared" si="361"/>
        <v>0</v>
      </c>
      <c r="G292" s="71">
        <f t="shared" si="362"/>
        <v>0</v>
      </c>
      <c r="H292" s="29">
        <f>M292*$H$5*N292</f>
        <v>0</v>
      </c>
      <c r="I292" s="83" t="s">
        <v>51</v>
      </c>
      <c r="J292" s="29" t="s">
        <v>136</v>
      </c>
      <c r="K292" s="6">
        <v>0</v>
      </c>
      <c r="L292" s="10" t="str">
        <f t="shared" si="363"/>
        <v>/ ?</v>
      </c>
      <c r="M292" s="60">
        <f>S292/$AE$4</f>
        <v>0</v>
      </c>
      <c r="N292" s="83">
        <v>0</v>
      </c>
      <c r="O292" s="83">
        <v>1</v>
      </c>
      <c r="P292" s="83" t="s">
        <v>75</v>
      </c>
      <c r="Q292" s="83" t="s">
        <v>75</v>
      </c>
      <c r="R292" s="83">
        <v>0</v>
      </c>
      <c r="S292" s="61">
        <f t="shared" si="292"/>
        <v>0</v>
      </c>
      <c r="T292" s="61"/>
      <c r="U292" s="61"/>
      <c r="V292" s="61"/>
      <c r="W292" s="322"/>
      <c r="Z292" s="11"/>
      <c r="AB292" s="145"/>
    </row>
    <row r="293" spans="1:28" ht="18" customHeight="1" x14ac:dyDescent="0.4">
      <c r="A293" s="24" t="s">
        <v>171</v>
      </c>
      <c r="B293" s="19">
        <f t="shared" si="359"/>
        <v>0</v>
      </c>
      <c r="C293" s="9"/>
      <c r="D293" s="20">
        <f t="shared" si="360"/>
        <v>0</v>
      </c>
      <c r="E293" s="9"/>
      <c r="F293" s="81">
        <f t="shared" si="361"/>
        <v>0</v>
      </c>
      <c r="G293" s="71">
        <f t="shared" si="362"/>
        <v>0</v>
      </c>
      <c r="H293" s="29">
        <f>M293*$H$5*N293</f>
        <v>0</v>
      </c>
      <c r="I293" s="83" t="s">
        <v>50</v>
      </c>
      <c r="J293" s="29" t="s">
        <v>136</v>
      </c>
      <c r="K293" s="6">
        <v>0</v>
      </c>
      <c r="L293" s="10" t="str">
        <f t="shared" si="363"/>
        <v>/ payment</v>
      </c>
      <c r="M293" s="60">
        <f>S293/$AE$4</f>
        <v>0</v>
      </c>
      <c r="N293" s="83">
        <v>0</v>
      </c>
      <c r="O293" s="83">
        <v>1</v>
      </c>
      <c r="P293" s="83" t="s">
        <v>75</v>
      </c>
      <c r="Q293" s="83" t="s">
        <v>75</v>
      </c>
      <c r="R293" s="83">
        <v>0</v>
      </c>
      <c r="S293" s="61">
        <f t="shared" si="292"/>
        <v>0</v>
      </c>
      <c r="T293" s="61"/>
      <c r="U293" s="61"/>
      <c r="V293" s="61"/>
      <c r="W293" s="322"/>
      <c r="Z293" s="11"/>
      <c r="AB293" s="145"/>
    </row>
    <row r="294" spans="1:28" ht="18" customHeight="1" x14ac:dyDescent="0.4">
      <c r="A294" s="246" t="s">
        <v>178</v>
      </c>
      <c r="B294" s="205">
        <f>((H294*K294)/O294)*N294*$J$1</f>
        <v>3.0500000000000003</v>
      </c>
      <c r="C294" s="200"/>
      <c r="D294" s="201">
        <f t="shared" ref="D294" si="364">IF($D$5=0,B294/$H$5,B294/$J$14)</f>
        <v>18.555586592178777</v>
      </c>
      <c r="E294" s="200"/>
      <c r="F294" s="201">
        <f t="shared" si="361"/>
        <v>0.42597765363128504</v>
      </c>
      <c r="G294" s="219">
        <f t="shared" si="362"/>
        <v>6.1469083413812136E-3</v>
      </c>
      <c r="H294" s="83">
        <v>1</v>
      </c>
      <c r="I294" s="83" t="s">
        <v>61</v>
      </c>
      <c r="J294" s="204" t="s">
        <v>136</v>
      </c>
      <c r="K294" s="6">
        <f>(300+5)</f>
        <v>305</v>
      </c>
      <c r="L294" s="213" t="str">
        <f t="shared" ref="L294" si="365">CONCATENATE("/ ",I294)</f>
        <v>/ year</v>
      </c>
      <c r="M294" s="204">
        <f>H294</f>
        <v>1</v>
      </c>
      <c r="N294" s="83">
        <v>1</v>
      </c>
      <c r="O294" s="83">
        <v>1</v>
      </c>
      <c r="P294" s="83" t="s">
        <v>75</v>
      </c>
      <c r="Q294" s="83" t="s">
        <v>75</v>
      </c>
      <c r="R294" s="204" t="s">
        <v>136</v>
      </c>
      <c r="S294" s="204" t="s">
        <v>136</v>
      </c>
      <c r="T294" s="29"/>
      <c r="U294" s="29"/>
      <c r="V294" s="29"/>
      <c r="W294" s="318"/>
      <c r="Z294" s="21"/>
      <c r="AA294" s="21"/>
      <c r="AB294" s="74"/>
    </row>
    <row r="295" spans="1:28" ht="18" customHeight="1" x14ac:dyDescent="0.4">
      <c r="A295" s="164" t="s">
        <v>178</v>
      </c>
      <c r="B295" s="159">
        <f>((H295*K295)/O295)*N295*$J$1</f>
        <v>0</v>
      </c>
      <c r="C295" s="9"/>
      <c r="D295" s="20">
        <f t="shared" si="360"/>
        <v>0</v>
      </c>
      <c r="E295" s="9"/>
      <c r="F295" s="81">
        <f t="shared" si="361"/>
        <v>0</v>
      </c>
      <c r="G295" s="71">
        <f t="shared" si="362"/>
        <v>0</v>
      </c>
      <c r="H295" s="83">
        <v>1</v>
      </c>
      <c r="I295" s="83" t="s">
        <v>61</v>
      </c>
      <c r="J295" s="29" t="s">
        <v>136</v>
      </c>
      <c r="K295" s="6">
        <v>0</v>
      </c>
      <c r="L295" s="10" t="str">
        <f t="shared" si="363"/>
        <v>/ year</v>
      </c>
      <c r="M295" s="29">
        <f>H295</f>
        <v>1</v>
      </c>
      <c r="N295" s="83">
        <v>0</v>
      </c>
      <c r="O295" s="83">
        <v>1</v>
      </c>
      <c r="P295" s="83" t="s">
        <v>75</v>
      </c>
      <c r="Q295" s="83" t="s">
        <v>75</v>
      </c>
      <c r="R295" s="29" t="s">
        <v>136</v>
      </c>
      <c r="S295" s="29" t="s">
        <v>136</v>
      </c>
      <c r="T295" s="29"/>
      <c r="U295" s="29"/>
      <c r="V295" s="29"/>
      <c r="W295" s="318"/>
      <c r="Z295" s="21">
        <f>SUM(B294:B295)</f>
        <v>3.0500000000000003</v>
      </c>
      <c r="AA295" s="21">
        <f>SUM(D294:D295)</f>
        <v>18.555586592178777</v>
      </c>
      <c r="AB295" s="74" t="s">
        <v>199</v>
      </c>
    </row>
    <row r="296" spans="1:28" ht="18" customHeight="1" x14ac:dyDescent="0.4">
      <c r="A296" s="24" t="s">
        <v>302</v>
      </c>
      <c r="B296" s="24"/>
      <c r="C296" s="9"/>
      <c r="D296" s="17"/>
      <c r="E296" s="9"/>
      <c r="F296" s="17"/>
      <c r="G296" s="70"/>
      <c r="H296" s="13" t="s">
        <v>232</v>
      </c>
      <c r="I296" s="13" t="s">
        <v>143</v>
      </c>
      <c r="J296" s="13" t="s">
        <v>82</v>
      </c>
      <c r="K296" s="13" t="s">
        <v>172</v>
      </c>
      <c r="L296" s="18" t="s">
        <v>147</v>
      </c>
      <c r="M296" s="13" t="s">
        <v>165</v>
      </c>
      <c r="N296" s="13" t="s">
        <v>82</v>
      </c>
      <c r="O296" s="13" t="s">
        <v>79</v>
      </c>
      <c r="P296" s="13" t="s">
        <v>73</v>
      </c>
      <c r="Q296" s="13" t="s">
        <v>74</v>
      </c>
      <c r="R296" s="13" t="s">
        <v>347</v>
      </c>
      <c r="S296" s="13" t="s">
        <v>342</v>
      </c>
      <c r="T296" s="187"/>
      <c r="U296" s="187"/>
      <c r="V296" s="187"/>
      <c r="W296" s="314"/>
    </row>
    <row r="297" spans="1:28" ht="18" customHeight="1" x14ac:dyDescent="0.4">
      <c r="A297" s="27" t="s">
        <v>97</v>
      </c>
      <c r="B297" s="19">
        <f t="shared" ref="B297:B308" si="366">((H297*K297)/O297)*N297</f>
        <v>0</v>
      </c>
      <c r="C297" s="9"/>
      <c r="D297" s="20">
        <f t="shared" si="360"/>
        <v>0</v>
      </c>
      <c r="E297" s="9"/>
      <c r="F297" s="81">
        <f t="shared" ref="F297:F308" si="367">IF($F$5=0,(B297/($H$6/1000)),B297/$M$416)</f>
        <v>0</v>
      </c>
      <c r="G297" s="71">
        <f t="shared" ref="G297:G308" si="368">B297/$B$313</f>
        <v>0</v>
      </c>
      <c r="H297" s="83">
        <v>0</v>
      </c>
      <c r="I297" s="83" t="s">
        <v>55</v>
      </c>
      <c r="J297" s="29" t="s">
        <v>136</v>
      </c>
      <c r="K297" s="6">
        <v>0</v>
      </c>
      <c r="L297" s="10" t="str">
        <f t="shared" ref="L297:L308" si="369">CONCATENATE("/ ",I297)</f>
        <v>/ container</v>
      </c>
      <c r="M297" s="29">
        <f t="shared" ref="M297:M308" si="370">H297/$H$5</f>
        <v>0</v>
      </c>
      <c r="N297" s="83">
        <v>0</v>
      </c>
      <c r="O297" s="83">
        <v>1</v>
      </c>
      <c r="P297" s="83" t="s">
        <v>75</v>
      </c>
      <c r="Q297" s="83" t="s">
        <v>75</v>
      </c>
      <c r="R297" s="83">
        <v>0</v>
      </c>
      <c r="S297" s="61">
        <f t="shared" ref="S297:S301" si="371">R297</f>
        <v>0</v>
      </c>
      <c r="T297" s="61"/>
      <c r="U297" s="61"/>
      <c r="V297" s="61"/>
      <c r="W297" s="322"/>
    </row>
    <row r="298" spans="1:28" ht="18" customHeight="1" x14ac:dyDescent="0.4">
      <c r="A298" s="27" t="s">
        <v>98</v>
      </c>
      <c r="B298" s="19">
        <f t="shared" si="366"/>
        <v>0</v>
      </c>
      <c r="C298" s="9"/>
      <c r="D298" s="20">
        <f t="shared" si="360"/>
        <v>0</v>
      </c>
      <c r="E298" s="9"/>
      <c r="F298" s="81">
        <f t="shared" si="367"/>
        <v>0</v>
      </c>
      <c r="G298" s="71">
        <f t="shared" si="368"/>
        <v>0</v>
      </c>
      <c r="H298" s="83">
        <v>0</v>
      </c>
      <c r="I298" s="83" t="s">
        <v>56</v>
      </c>
      <c r="J298" s="29" t="s">
        <v>136</v>
      </c>
      <c r="K298" s="6">
        <v>0</v>
      </c>
      <c r="L298" s="10" t="str">
        <f t="shared" si="369"/>
        <v>/ job</v>
      </c>
      <c r="M298" s="29">
        <f t="shared" si="370"/>
        <v>0</v>
      </c>
      <c r="N298" s="83">
        <v>0</v>
      </c>
      <c r="O298" s="83">
        <v>1</v>
      </c>
      <c r="P298" s="83" t="s">
        <v>75</v>
      </c>
      <c r="Q298" s="83" t="s">
        <v>75</v>
      </c>
      <c r="R298" s="83">
        <v>0</v>
      </c>
      <c r="S298" s="61">
        <f t="shared" si="371"/>
        <v>0</v>
      </c>
      <c r="T298" s="61"/>
      <c r="U298" s="61"/>
      <c r="V298" s="61"/>
      <c r="W298" s="322"/>
    </row>
    <row r="299" spans="1:28" ht="18" customHeight="1" x14ac:dyDescent="0.4">
      <c r="A299" s="27" t="s">
        <v>99</v>
      </c>
      <c r="B299" s="19">
        <f t="shared" si="366"/>
        <v>0</v>
      </c>
      <c r="C299" s="9"/>
      <c r="D299" s="20">
        <f t="shared" si="360"/>
        <v>0</v>
      </c>
      <c r="E299" s="9"/>
      <c r="F299" s="81">
        <f t="shared" si="367"/>
        <v>0</v>
      </c>
      <c r="G299" s="71">
        <f t="shared" si="368"/>
        <v>0</v>
      </c>
      <c r="H299" s="83">
        <v>0</v>
      </c>
      <c r="I299" s="83" t="s">
        <v>57</v>
      </c>
      <c r="J299" s="29" t="s">
        <v>136</v>
      </c>
      <c r="K299" s="6">
        <v>0</v>
      </c>
      <c r="L299" s="10" t="str">
        <f t="shared" si="369"/>
        <v>/ haul</v>
      </c>
      <c r="M299" s="29">
        <f t="shared" si="370"/>
        <v>0</v>
      </c>
      <c r="N299" s="83">
        <v>0</v>
      </c>
      <c r="O299" s="83">
        <v>1</v>
      </c>
      <c r="P299" s="83" t="s">
        <v>75</v>
      </c>
      <c r="Q299" s="83" t="s">
        <v>75</v>
      </c>
      <c r="R299" s="83">
        <v>0</v>
      </c>
      <c r="S299" s="61">
        <f t="shared" si="371"/>
        <v>0</v>
      </c>
      <c r="T299" s="61"/>
      <c r="U299" s="61"/>
      <c r="V299" s="61"/>
      <c r="W299" s="322"/>
    </row>
    <row r="300" spans="1:28" ht="18" customHeight="1" x14ac:dyDescent="0.4">
      <c r="A300" s="27" t="s">
        <v>100</v>
      </c>
      <c r="B300" s="19">
        <f t="shared" si="366"/>
        <v>0</v>
      </c>
      <c r="C300" s="9"/>
      <c r="D300" s="20">
        <f t="shared" si="360"/>
        <v>0</v>
      </c>
      <c r="E300" s="9"/>
      <c r="F300" s="81">
        <f t="shared" si="367"/>
        <v>0</v>
      </c>
      <c r="G300" s="71">
        <f t="shared" si="368"/>
        <v>0</v>
      </c>
      <c r="H300" s="83">
        <v>0</v>
      </c>
      <c r="I300" s="83" t="s">
        <v>58</v>
      </c>
      <c r="J300" s="29" t="s">
        <v>136</v>
      </c>
      <c r="K300" s="6">
        <v>0</v>
      </c>
      <c r="L300" s="10" t="str">
        <f t="shared" si="369"/>
        <v>/ package</v>
      </c>
      <c r="M300" s="29">
        <f t="shared" si="370"/>
        <v>0</v>
      </c>
      <c r="N300" s="83">
        <v>0</v>
      </c>
      <c r="O300" s="83">
        <v>1</v>
      </c>
      <c r="P300" s="83" t="s">
        <v>75</v>
      </c>
      <c r="Q300" s="83" t="s">
        <v>75</v>
      </c>
      <c r="R300" s="83">
        <v>0</v>
      </c>
      <c r="S300" s="61">
        <f t="shared" si="371"/>
        <v>0</v>
      </c>
      <c r="T300" s="61"/>
      <c r="U300" s="61"/>
      <c r="V300" s="61"/>
      <c r="W300" s="322"/>
    </row>
    <row r="301" spans="1:28" ht="18" customHeight="1" x14ac:dyDescent="0.4">
      <c r="A301" s="27" t="s">
        <v>303</v>
      </c>
      <c r="B301" s="19">
        <f t="shared" si="366"/>
        <v>0</v>
      </c>
      <c r="C301" s="9"/>
      <c r="D301" s="20">
        <f t="shared" si="360"/>
        <v>0</v>
      </c>
      <c r="E301" s="9"/>
      <c r="F301" s="81">
        <f t="shared" si="367"/>
        <v>0</v>
      </c>
      <c r="G301" s="71">
        <f t="shared" si="368"/>
        <v>0</v>
      </c>
      <c r="H301" s="83">
        <v>0</v>
      </c>
      <c r="I301" s="83" t="s">
        <v>304</v>
      </c>
      <c r="J301" s="29" t="s">
        <v>136</v>
      </c>
      <c r="K301" s="6">
        <v>0</v>
      </c>
      <c r="L301" s="10" t="str">
        <f t="shared" si="369"/>
        <v>/ lease</v>
      </c>
      <c r="M301" s="29">
        <f t="shared" si="370"/>
        <v>0</v>
      </c>
      <c r="N301" s="83">
        <v>0</v>
      </c>
      <c r="O301" s="83">
        <v>1</v>
      </c>
      <c r="P301" s="83" t="s">
        <v>75</v>
      </c>
      <c r="Q301" s="83" t="s">
        <v>75</v>
      </c>
      <c r="R301" s="83">
        <v>0</v>
      </c>
      <c r="S301" s="61">
        <f t="shared" si="371"/>
        <v>0</v>
      </c>
      <c r="T301" s="61"/>
      <c r="U301" s="61"/>
      <c r="V301" s="61"/>
      <c r="W301" s="322"/>
    </row>
    <row r="302" spans="1:28" ht="18" customHeight="1" x14ac:dyDescent="0.4">
      <c r="A302" s="27" t="s">
        <v>305</v>
      </c>
      <c r="B302" s="159">
        <f>((H302*K302)/O302)*N302</f>
        <v>0</v>
      </c>
      <c r="C302" s="9"/>
      <c r="D302" s="20">
        <f t="shared" si="360"/>
        <v>0</v>
      </c>
      <c r="E302" s="9"/>
      <c r="F302" s="81">
        <f t="shared" si="367"/>
        <v>0</v>
      </c>
      <c r="G302" s="71">
        <f t="shared" si="368"/>
        <v>0</v>
      </c>
      <c r="H302" s="83">
        <v>0</v>
      </c>
      <c r="I302" s="83" t="s">
        <v>306</v>
      </c>
      <c r="J302" s="29" t="s">
        <v>136</v>
      </c>
      <c r="K302" s="6">
        <v>60</v>
      </c>
      <c r="L302" s="10" t="str">
        <f>CONCATENATE("/ ",I302)</f>
        <v>/ day</v>
      </c>
      <c r="M302" s="29">
        <f t="shared" si="370"/>
        <v>0</v>
      </c>
      <c r="N302" s="83">
        <v>0</v>
      </c>
      <c r="O302" s="29">
        <f>$K$5</f>
        <v>10</v>
      </c>
      <c r="P302" s="55" t="s">
        <v>75</v>
      </c>
      <c r="Q302" s="55" t="s">
        <v>75</v>
      </c>
      <c r="R302" s="29" t="s">
        <v>136</v>
      </c>
      <c r="S302" s="29" t="s">
        <v>136</v>
      </c>
      <c r="T302" s="29"/>
      <c r="U302" s="29"/>
      <c r="V302" s="29"/>
      <c r="W302" s="318"/>
    </row>
    <row r="303" spans="1:28" ht="18" customHeight="1" x14ac:dyDescent="0.4">
      <c r="A303" s="27" t="s">
        <v>307</v>
      </c>
      <c r="B303" s="159">
        <f>((H303*K303)/O303)*N303</f>
        <v>0</v>
      </c>
      <c r="C303" s="9"/>
      <c r="D303" s="20">
        <f t="shared" si="360"/>
        <v>0</v>
      </c>
      <c r="E303" s="9"/>
      <c r="F303" s="81">
        <f t="shared" si="367"/>
        <v>0</v>
      </c>
      <c r="G303" s="71">
        <f t="shared" si="368"/>
        <v>0</v>
      </c>
      <c r="H303" s="83">
        <v>0</v>
      </c>
      <c r="I303" s="83" t="s">
        <v>306</v>
      </c>
      <c r="J303" s="29" t="s">
        <v>136</v>
      </c>
      <c r="K303" s="6">
        <v>6</v>
      </c>
      <c r="L303" s="10" t="str">
        <f>CONCATENATE("/ ",I303)</f>
        <v>/ day</v>
      </c>
      <c r="M303" s="29">
        <f t="shared" si="370"/>
        <v>0</v>
      </c>
      <c r="N303" s="83">
        <v>0</v>
      </c>
      <c r="O303" s="29">
        <f>$K$5</f>
        <v>10</v>
      </c>
      <c r="P303" s="55" t="s">
        <v>75</v>
      </c>
      <c r="Q303" s="55" t="s">
        <v>75</v>
      </c>
      <c r="R303" s="83">
        <v>0</v>
      </c>
      <c r="S303" s="61">
        <f t="shared" ref="S303" si="372">R303</f>
        <v>0</v>
      </c>
      <c r="T303" s="61"/>
      <c r="U303" s="61"/>
      <c r="V303" s="61"/>
      <c r="W303" s="322"/>
    </row>
    <row r="304" spans="1:28" ht="18" customHeight="1" x14ac:dyDescent="0.4">
      <c r="A304" s="27" t="s">
        <v>308</v>
      </c>
      <c r="B304" s="159">
        <f>((H304*K304)/O304)*N304</f>
        <v>0</v>
      </c>
      <c r="C304" s="9"/>
      <c r="D304" s="20">
        <f t="shared" si="360"/>
        <v>0</v>
      </c>
      <c r="E304" s="9"/>
      <c r="F304" s="81">
        <f t="shared" si="367"/>
        <v>0</v>
      </c>
      <c r="G304" s="71">
        <f t="shared" si="368"/>
        <v>0</v>
      </c>
      <c r="H304" s="83">
        <v>0</v>
      </c>
      <c r="I304" s="83" t="s">
        <v>306</v>
      </c>
      <c r="J304" s="29" t="s">
        <v>136</v>
      </c>
      <c r="K304" s="6">
        <v>12.5</v>
      </c>
      <c r="L304" s="10" t="str">
        <f>CONCATENATE("/ ",I304)</f>
        <v>/ day</v>
      </c>
      <c r="M304" s="29">
        <f t="shared" si="370"/>
        <v>0</v>
      </c>
      <c r="N304" s="83">
        <v>0</v>
      </c>
      <c r="O304" s="29">
        <f>$K$5</f>
        <v>10</v>
      </c>
      <c r="P304" s="55" t="s">
        <v>75</v>
      </c>
      <c r="Q304" s="55" t="s">
        <v>75</v>
      </c>
      <c r="R304" s="29" t="s">
        <v>136</v>
      </c>
      <c r="S304" s="29" t="s">
        <v>136</v>
      </c>
      <c r="T304" s="29"/>
      <c r="U304" s="29"/>
      <c r="V304" s="29"/>
      <c r="W304" s="318"/>
    </row>
    <row r="305" spans="1:28" ht="18" customHeight="1" x14ac:dyDescent="0.4">
      <c r="A305" s="27" t="s">
        <v>161</v>
      </c>
      <c r="B305" s="19">
        <f>((H305*K305)/O305)*N305</f>
        <v>0</v>
      </c>
      <c r="C305" s="9"/>
      <c r="D305" s="20">
        <f t="shared" si="360"/>
        <v>0</v>
      </c>
      <c r="E305" s="9"/>
      <c r="F305" s="81">
        <f t="shared" si="367"/>
        <v>0</v>
      </c>
      <c r="G305" s="71">
        <f t="shared" si="368"/>
        <v>0</v>
      </c>
      <c r="H305" s="83">
        <v>0</v>
      </c>
      <c r="I305" s="83" t="s">
        <v>304</v>
      </c>
      <c r="J305" s="29" t="s">
        <v>136</v>
      </c>
      <c r="K305" s="6">
        <v>0</v>
      </c>
      <c r="L305" s="10" t="str">
        <f>CONCATENATE("/ ",I305)</f>
        <v>/ lease</v>
      </c>
      <c r="M305" s="29">
        <f t="shared" si="370"/>
        <v>0</v>
      </c>
      <c r="N305" s="83">
        <v>0</v>
      </c>
      <c r="O305" s="83">
        <v>1</v>
      </c>
      <c r="P305" s="83" t="s">
        <v>75</v>
      </c>
      <c r="Q305" s="83" t="s">
        <v>75</v>
      </c>
      <c r="R305" s="83">
        <v>0</v>
      </c>
      <c r="S305" s="61">
        <f t="shared" ref="S305:S308" si="373">R305</f>
        <v>0</v>
      </c>
      <c r="T305" s="61"/>
      <c r="U305" s="61"/>
      <c r="V305" s="61"/>
      <c r="W305" s="322"/>
    </row>
    <row r="306" spans="1:28" ht="18" customHeight="1" x14ac:dyDescent="0.4">
      <c r="A306" s="27" t="s">
        <v>101</v>
      </c>
      <c r="B306" s="19">
        <f t="shared" si="366"/>
        <v>0</v>
      </c>
      <c r="C306" s="9"/>
      <c r="D306" s="20">
        <f t="shared" si="360"/>
        <v>0</v>
      </c>
      <c r="E306" s="9"/>
      <c r="F306" s="81">
        <f t="shared" si="367"/>
        <v>0</v>
      </c>
      <c r="G306" s="71">
        <f t="shared" si="368"/>
        <v>0</v>
      </c>
      <c r="H306" s="83">
        <v>0</v>
      </c>
      <c r="I306" s="83" t="s">
        <v>59</v>
      </c>
      <c r="J306" s="29" t="s">
        <v>136</v>
      </c>
      <c r="K306" s="6">
        <v>0</v>
      </c>
      <c r="L306" s="10" t="str">
        <f t="shared" si="369"/>
        <v>/ ship</v>
      </c>
      <c r="M306" s="29">
        <f t="shared" si="370"/>
        <v>0</v>
      </c>
      <c r="N306" s="83">
        <v>0</v>
      </c>
      <c r="O306" s="83">
        <v>1</v>
      </c>
      <c r="P306" s="83" t="s">
        <v>75</v>
      </c>
      <c r="Q306" s="83" t="s">
        <v>75</v>
      </c>
      <c r="R306" s="83">
        <v>0</v>
      </c>
      <c r="S306" s="61">
        <f t="shared" si="373"/>
        <v>0</v>
      </c>
      <c r="T306" s="61"/>
      <c r="U306" s="61"/>
      <c r="V306" s="61"/>
      <c r="W306" s="322"/>
    </row>
    <row r="307" spans="1:28" ht="18" customHeight="1" x14ac:dyDescent="0.4">
      <c r="A307" s="27" t="s">
        <v>102</v>
      </c>
      <c r="B307" s="19">
        <f t="shared" si="366"/>
        <v>0</v>
      </c>
      <c r="C307" s="9"/>
      <c r="D307" s="20">
        <f t="shared" si="360"/>
        <v>0</v>
      </c>
      <c r="E307" s="9"/>
      <c r="F307" s="81">
        <f t="shared" si="367"/>
        <v>0</v>
      </c>
      <c r="G307" s="71">
        <f t="shared" si="368"/>
        <v>0</v>
      </c>
      <c r="H307" s="83">
        <v>0</v>
      </c>
      <c r="I307" s="83" t="s">
        <v>60</v>
      </c>
      <c r="J307" s="29" t="s">
        <v>136</v>
      </c>
      <c r="K307" s="6">
        <v>0</v>
      </c>
      <c r="L307" s="10" t="str">
        <f t="shared" si="369"/>
        <v>/ store</v>
      </c>
      <c r="M307" s="29">
        <f t="shared" si="370"/>
        <v>0</v>
      </c>
      <c r="N307" s="83">
        <v>0</v>
      </c>
      <c r="O307" s="83">
        <v>1</v>
      </c>
      <c r="P307" s="83" t="s">
        <v>75</v>
      </c>
      <c r="Q307" s="83" t="s">
        <v>75</v>
      </c>
      <c r="R307" s="83">
        <v>0</v>
      </c>
      <c r="S307" s="61">
        <f t="shared" si="373"/>
        <v>0</v>
      </c>
      <c r="T307" s="61"/>
      <c r="U307" s="61"/>
      <c r="V307" s="61"/>
      <c r="W307" s="322"/>
    </row>
    <row r="308" spans="1:28" ht="18" customHeight="1" x14ac:dyDescent="0.4">
      <c r="A308" s="27" t="s">
        <v>103</v>
      </c>
      <c r="B308" s="19">
        <f t="shared" si="366"/>
        <v>0</v>
      </c>
      <c r="C308" s="9"/>
      <c r="D308" s="20">
        <f t="shared" si="360"/>
        <v>0</v>
      </c>
      <c r="E308" s="9"/>
      <c r="F308" s="81">
        <f t="shared" si="367"/>
        <v>0</v>
      </c>
      <c r="G308" s="71">
        <f t="shared" si="368"/>
        <v>0</v>
      </c>
      <c r="H308" s="83">
        <v>0</v>
      </c>
      <c r="I308" s="83" t="s">
        <v>309</v>
      </c>
      <c r="J308" s="29" t="s">
        <v>136</v>
      </c>
      <c r="K308" s="6">
        <v>0</v>
      </c>
      <c r="L308" s="10" t="str">
        <f t="shared" si="369"/>
        <v>/ supplies</v>
      </c>
      <c r="M308" s="29">
        <f t="shared" si="370"/>
        <v>0</v>
      </c>
      <c r="N308" s="83">
        <v>0</v>
      </c>
      <c r="O308" s="83">
        <v>1</v>
      </c>
      <c r="P308" s="83" t="s">
        <v>75</v>
      </c>
      <c r="Q308" s="83" t="s">
        <v>75</v>
      </c>
      <c r="R308" s="83">
        <v>0</v>
      </c>
      <c r="S308" s="61">
        <f t="shared" si="373"/>
        <v>0</v>
      </c>
      <c r="T308" s="61"/>
      <c r="U308" s="61"/>
      <c r="V308" s="61"/>
      <c r="W308" s="322"/>
      <c r="Z308" s="21">
        <f>SUM(B296:B308)</f>
        <v>0</v>
      </c>
      <c r="AA308" s="21">
        <f>SUM(D296:D308)</f>
        <v>0</v>
      </c>
      <c r="AB308" s="74" t="s">
        <v>310</v>
      </c>
    </row>
    <row r="309" spans="1:28" ht="18" customHeight="1" x14ac:dyDescent="0.4">
      <c r="A309" s="24" t="s">
        <v>41</v>
      </c>
      <c r="B309" s="21"/>
      <c r="C309" s="21"/>
      <c r="D309" s="21"/>
      <c r="E309" s="21"/>
      <c r="F309" s="21"/>
      <c r="G309" s="70"/>
      <c r="H309" s="13" t="s">
        <v>232</v>
      </c>
      <c r="I309" s="13" t="s">
        <v>143</v>
      </c>
      <c r="J309" s="13" t="s">
        <v>82</v>
      </c>
      <c r="K309" s="13" t="s">
        <v>172</v>
      </c>
      <c r="L309" s="18" t="s">
        <v>147</v>
      </c>
      <c r="M309" s="13" t="s">
        <v>165</v>
      </c>
      <c r="N309" s="13" t="s">
        <v>82</v>
      </c>
      <c r="O309" s="13" t="s">
        <v>79</v>
      </c>
      <c r="P309" s="13" t="s">
        <v>73</v>
      </c>
      <c r="Q309" s="13" t="s">
        <v>74</v>
      </c>
      <c r="R309" s="13" t="s">
        <v>347</v>
      </c>
      <c r="S309" s="13" t="s">
        <v>342</v>
      </c>
      <c r="T309" s="187"/>
      <c r="U309" s="187"/>
      <c r="V309" s="187"/>
      <c r="W309" s="314"/>
      <c r="Z309" s="11"/>
      <c r="AB309" s="145"/>
    </row>
    <row r="310" spans="1:28" ht="18" customHeight="1" x14ac:dyDescent="0.4">
      <c r="A310" s="24" t="s">
        <v>105</v>
      </c>
      <c r="B310" s="19">
        <f>((H310*K310)/O310)*N310</f>
        <v>0</v>
      </c>
      <c r="C310" s="9"/>
      <c r="D310" s="20">
        <f t="shared" si="360"/>
        <v>0</v>
      </c>
      <c r="E310" s="9"/>
      <c r="F310" s="81">
        <f>IF($F$5=0,(B310/($H$6/1000)),B310/$M$416)</f>
        <v>0</v>
      </c>
      <c r="G310" s="71">
        <f>B310/$B$313</f>
        <v>0</v>
      </c>
      <c r="H310" s="83">
        <v>0</v>
      </c>
      <c r="I310" s="83" t="s">
        <v>61</v>
      </c>
      <c r="J310" s="29" t="s">
        <v>136</v>
      </c>
      <c r="K310" s="6">
        <v>0</v>
      </c>
      <c r="L310" s="10" t="str">
        <f>CONCATENATE("/ ",I310)</f>
        <v>/ year</v>
      </c>
      <c r="M310" s="29">
        <f>H310/$H$5</f>
        <v>0</v>
      </c>
      <c r="N310" s="83">
        <v>0</v>
      </c>
      <c r="O310" s="83">
        <v>1</v>
      </c>
      <c r="P310" s="83" t="s">
        <v>75</v>
      </c>
      <c r="Q310" s="83" t="s">
        <v>75</v>
      </c>
      <c r="R310" s="83">
        <v>0</v>
      </c>
      <c r="S310" s="61">
        <f t="shared" ref="S310:S311" si="374">R310</f>
        <v>0</v>
      </c>
      <c r="T310" s="61"/>
      <c r="U310" s="61"/>
      <c r="V310" s="61"/>
      <c r="W310" s="322"/>
      <c r="Z310" s="11"/>
      <c r="AB310" s="145"/>
    </row>
    <row r="311" spans="1:28" ht="18" customHeight="1" x14ac:dyDescent="0.4">
      <c r="A311" s="2" t="s">
        <v>104</v>
      </c>
      <c r="B311" s="19">
        <f>((H311*K311)/O311)*N311</f>
        <v>0</v>
      </c>
      <c r="C311" s="9"/>
      <c r="D311" s="20">
        <f t="shared" si="360"/>
        <v>0</v>
      </c>
      <c r="E311" s="9"/>
      <c r="F311" s="81">
        <f>IF($F$5=0,(B311/($H$6/1000)),B311/$M$416)</f>
        <v>0</v>
      </c>
      <c r="G311" s="71">
        <f>B311/$B$313</f>
        <v>0</v>
      </c>
      <c r="H311" s="83">
        <v>0</v>
      </c>
      <c r="I311" s="83" t="s">
        <v>51</v>
      </c>
      <c r="J311" s="29" t="s">
        <v>136</v>
      </c>
      <c r="K311" s="6">
        <v>0</v>
      </c>
      <c r="L311" s="10" t="str">
        <f>CONCATENATE("/ ",I311)</f>
        <v>/ ?</v>
      </c>
      <c r="M311" s="29">
        <f>H311/$H$5</f>
        <v>0</v>
      </c>
      <c r="N311" s="83">
        <v>0</v>
      </c>
      <c r="O311" s="83">
        <v>1</v>
      </c>
      <c r="P311" s="83" t="s">
        <v>75</v>
      </c>
      <c r="Q311" s="83" t="s">
        <v>75</v>
      </c>
      <c r="R311" s="83">
        <v>0</v>
      </c>
      <c r="S311" s="61">
        <f t="shared" si="374"/>
        <v>0</v>
      </c>
      <c r="T311" s="61"/>
      <c r="U311" s="61"/>
      <c r="V311" s="61"/>
      <c r="W311" s="322"/>
      <c r="Z311" s="21">
        <f>SUM(B309:B311)</f>
        <v>0</v>
      </c>
      <c r="AA311" s="21">
        <f>SUM(D309:D311)</f>
        <v>0</v>
      </c>
      <c r="AB311" s="74" t="s">
        <v>41</v>
      </c>
    </row>
    <row r="312" spans="1:28" ht="18" customHeight="1" x14ac:dyDescent="0.4">
      <c r="A312" s="24"/>
      <c r="B312" s="28"/>
      <c r="C312" s="9"/>
      <c r="D312" s="17"/>
      <c r="E312" s="9"/>
      <c r="F312" s="17"/>
      <c r="G312" s="70"/>
      <c r="Z312" s="11"/>
      <c r="AB312" s="145"/>
    </row>
    <row r="313" spans="1:28" ht="18" customHeight="1" x14ac:dyDescent="0.4">
      <c r="A313" s="15" t="s">
        <v>122</v>
      </c>
      <c r="B313" s="9">
        <f>SUM(B19:B312)</f>
        <v>496.18439557123173</v>
      </c>
      <c r="C313" s="9"/>
      <c r="D313" s="16">
        <f>SUM(D19:D312)</f>
        <v>3018.6860713802857</v>
      </c>
      <c r="E313" s="9"/>
      <c r="F313" s="16">
        <f>SUM(F19:F312)</f>
        <v>69.299496588160849</v>
      </c>
      <c r="G313" s="165">
        <f>SUM(G19:G312)</f>
        <v>1</v>
      </c>
      <c r="Z313" s="17">
        <f>SUM(Z18:Z312)</f>
        <v>499.75080156013627</v>
      </c>
      <c r="AA313" s="17">
        <f>SUM(AA18:AA312)</f>
        <v>3040.383368150774</v>
      </c>
      <c r="AB313" s="145"/>
    </row>
    <row r="314" spans="1:28" ht="18" customHeight="1" x14ac:dyDescent="0.4">
      <c r="A314" s="15"/>
      <c r="B314" s="9"/>
      <c r="C314" s="9"/>
      <c r="D314" s="16"/>
      <c r="E314" s="9"/>
      <c r="F314" s="17"/>
      <c r="G314" s="71"/>
    </row>
    <row r="315" spans="1:28" ht="18" customHeight="1" x14ac:dyDescent="0.4">
      <c r="A315" s="15" t="s">
        <v>160</v>
      </c>
      <c r="B315" s="9"/>
      <c r="C315" s="9"/>
      <c r="D315" s="16"/>
      <c r="E315" s="9"/>
      <c r="F315" s="17"/>
      <c r="G315" s="71"/>
      <c r="H315" s="13" t="s">
        <v>232</v>
      </c>
      <c r="I315" s="13" t="s">
        <v>143</v>
      </c>
      <c r="J315" s="13" t="s">
        <v>82</v>
      </c>
      <c r="K315" s="13" t="s">
        <v>172</v>
      </c>
      <c r="L315" s="18" t="s">
        <v>147</v>
      </c>
      <c r="M315" s="13" t="s">
        <v>165</v>
      </c>
      <c r="N315" s="13" t="s">
        <v>82</v>
      </c>
      <c r="O315" s="13" t="s">
        <v>79</v>
      </c>
      <c r="P315" s="13" t="s">
        <v>73</v>
      </c>
      <c r="Q315" s="13" t="s">
        <v>74</v>
      </c>
      <c r="R315" s="13" t="s">
        <v>347</v>
      </c>
      <c r="S315" s="13" t="s">
        <v>342</v>
      </c>
      <c r="T315" s="187"/>
      <c r="U315" s="187"/>
      <c r="V315" s="187"/>
      <c r="W315" s="13" t="s">
        <v>37</v>
      </c>
    </row>
    <row r="316" spans="1:28" ht="18" customHeight="1" x14ac:dyDescent="0.4">
      <c r="A316" s="27" t="s">
        <v>138</v>
      </c>
      <c r="B316" s="19">
        <f t="shared" ref="B316:B321" si="375">((H316*K316)/O316)*N316</f>
        <v>0</v>
      </c>
      <c r="C316" s="9"/>
      <c r="D316" s="20">
        <f>IF($D$5=0,W316,B316/$J$14)</f>
        <v>0</v>
      </c>
      <c r="E316" s="9"/>
      <c r="F316" s="81">
        <f t="shared" ref="F316:F321" si="376">IF($F$5=0,(B316/($H$6/1000)),B316/$M$416)</f>
        <v>0</v>
      </c>
      <c r="G316" s="71">
        <f t="shared" ref="G316:G321" si="377">B316/$B$399</f>
        <v>0</v>
      </c>
      <c r="H316" s="83">
        <v>1</v>
      </c>
      <c r="I316" s="83" t="s">
        <v>61</v>
      </c>
      <c r="J316" s="29" t="s">
        <v>136</v>
      </c>
      <c r="K316" s="6">
        <v>0</v>
      </c>
      <c r="L316" s="10" t="str">
        <f t="shared" ref="L316:L321" si="378">CONCATENATE("/ ",I316)</f>
        <v>/ year</v>
      </c>
      <c r="M316" s="29">
        <f t="shared" ref="M316:M321" si="379">H316/$H$5</f>
        <v>6.0837988826815659</v>
      </c>
      <c r="N316" s="83">
        <v>0</v>
      </c>
      <c r="O316" s="83">
        <v>1</v>
      </c>
      <c r="P316" s="55" t="s">
        <v>75</v>
      </c>
      <c r="Q316" s="55" t="s">
        <v>75</v>
      </c>
      <c r="R316" s="83">
        <v>0</v>
      </c>
      <c r="S316" s="61">
        <f t="shared" ref="S316:S321" si="380">R316</f>
        <v>0</v>
      </c>
      <c r="T316" s="61"/>
      <c r="U316" s="61"/>
      <c r="V316" s="61"/>
      <c r="W316" s="312">
        <f t="shared" ref="W316:W321" si="381">IF(beepasture&lt;1,B316,B316/$H$5)</f>
        <v>0</v>
      </c>
    </row>
    <row r="317" spans="1:28" ht="18" customHeight="1" x14ac:dyDescent="0.4">
      <c r="A317" s="27" t="s">
        <v>43</v>
      </c>
      <c r="B317" s="19">
        <f t="shared" si="375"/>
        <v>0</v>
      </c>
      <c r="C317" s="9"/>
      <c r="D317" s="20">
        <f>IF($D$5=0,W317,B317/$J$14)</f>
        <v>0</v>
      </c>
      <c r="E317" s="9"/>
      <c r="F317" s="81">
        <f t="shared" si="376"/>
        <v>0</v>
      </c>
      <c r="G317" s="71">
        <f t="shared" si="377"/>
        <v>0</v>
      </c>
      <c r="H317" s="83">
        <v>1</v>
      </c>
      <c r="I317" s="83" t="s">
        <v>61</v>
      </c>
      <c r="J317" s="29" t="s">
        <v>136</v>
      </c>
      <c r="K317" s="6">
        <v>0</v>
      </c>
      <c r="L317" s="10" t="str">
        <f t="shared" si="378"/>
        <v>/ year</v>
      </c>
      <c r="M317" s="29">
        <f t="shared" si="379"/>
        <v>6.0837988826815659</v>
      </c>
      <c r="N317" s="83">
        <v>0</v>
      </c>
      <c r="O317" s="83">
        <v>1</v>
      </c>
      <c r="P317" s="55" t="s">
        <v>75</v>
      </c>
      <c r="Q317" s="55" t="s">
        <v>75</v>
      </c>
      <c r="R317" s="83">
        <v>0</v>
      </c>
      <c r="S317" s="61">
        <f t="shared" si="380"/>
        <v>0</v>
      </c>
      <c r="T317" s="61"/>
      <c r="U317" s="61"/>
      <c r="V317" s="61"/>
      <c r="W317" s="312">
        <f t="shared" si="381"/>
        <v>0</v>
      </c>
    </row>
    <row r="318" spans="1:28" ht="18" customHeight="1" x14ac:dyDescent="0.4">
      <c r="A318" s="27" t="s">
        <v>311</v>
      </c>
      <c r="B318" s="19">
        <f t="shared" si="375"/>
        <v>0</v>
      </c>
      <c r="C318" s="9"/>
      <c r="D318" s="20">
        <f t="shared" ref="D318:D321" si="382">IF($D$5=0,W318,B318/$J$14)</f>
        <v>0</v>
      </c>
      <c r="E318" s="9"/>
      <c r="F318" s="81">
        <f t="shared" si="376"/>
        <v>0</v>
      </c>
      <c r="G318" s="71">
        <f t="shared" si="377"/>
        <v>0</v>
      </c>
      <c r="H318" s="83">
        <v>1</v>
      </c>
      <c r="I318" s="83" t="s">
        <v>61</v>
      </c>
      <c r="J318" s="29" t="s">
        <v>136</v>
      </c>
      <c r="K318" s="6">
        <v>0</v>
      </c>
      <c r="L318" s="10" t="str">
        <f t="shared" si="378"/>
        <v>/ year</v>
      </c>
      <c r="M318" s="29">
        <f t="shared" si="379"/>
        <v>6.0837988826815659</v>
      </c>
      <c r="N318" s="83">
        <v>0</v>
      </c>
      <c r="O318" s="83">
        <v>1</v>
      </c>
      <c r="P318" s="55" t="s">
        <v>75</v>
      </c>
      <c r="Q318" s="55" t="s">
        <v>75</v>
      </c>
      <c r="R318" s="83">
        <v>0</v>
      </c>
      <c r="S318" s="61">
        <f t="shared" si="380"/>
        <v>0</v>
      </c>
      <c r="T318" s="61"/>
      <c r="U318" s="61"/>
      <c r="V318" s="61"/>
      <c r="W318" s="312">
        <f t="shared" si="381"/>
        <v>0</v>
      </c>
    </row>
    <row r="319" spans="1:28" ht="18" customHeight="1" x14ac:dyDescent="0.4">
      <c r="A319" s="27" t="s">
        <v>44</v>
      </c>
      <c r="B319" s="19">
        <f t="shared" si="375"/>
        <v>0</v>
      </c>
      <c r="C319" s="9"/>
      <c r="D319" s="20">
        <f t="shared" si="382"/>
        <v>0</v>
      </c>
      <c r="E319" s="9"/>
      <c r="F319" s="81">
        <f t="shared" si="376"/>
        <v>0</v>
      </c>
      <c r="G319" s="71">
        <f t="shared" si="377"/>
        <v>0</v>
      </c>
      <c r="H319" s="83">
        <v>1</v>
      </c>
      <c r="I319" s="83" t="s">
        <v>61</v>
      </c>
      <c r="J319" s="29" t="s">
        <v>136</v>
      </c>
      <c r="K319" s="6">
        <v>0</v>
      </c>
      <c r="L319" s="10" t="str">
        <f t="shared" si="378"/>
        <v>/ year</v>
      </c>
      <c r="M319" s="29">
        <f t="shared" si="379"/>
        <v>6.0837988826815659</v>
      </c>
      <c r="N319" s="83">
        <v>0</v>
      </c>
      <c r="O319" s="83">
        <v>1</v>
      </c>
      <c r="P319" s="55" t="s">
        <v>75</v>
      </c>
      <c r="Q319" s="55" t="s">
        <v>75</v>
      </c>
      <c r="R319" s="83">
        <v>0</v>
      </c>
      <c r="S319" s="61">
        <f t="shared" si="380"/>
        <v>0</v>
      </c>
      <c r="T319" s="61"/>
      <c r="U319" s="61"/>
      <c r="V319" s="61"/>
      <c r="W319" s="312">
        <f t="shared" si="381"/>
        <v>0</v>
      </c>
    </row>
    <row r="320" spans="1:28" ht="18" customHeight="1" x14ac:dyDescent="0.4">
      <c r="A320" s="27" t="s">
        <v>312</v>
      </c>
      <c r="B320" s="19">
        <f t="shared" si="375"/>
        <v>0</v>
      </c>
      <c r="C320" s="9"/>
      <c r="D320" s="20">
        <f t="shared" si="382"/>
        <v>0</v>
      </c>
      <c r="E320" s="9"/>
      <c r="F320" s="81">
        <f t="shared" si="376"/>
        <v>0</v>
      </c>
      <c r="G320" s="71">
        <f t="shared" si="377"/>
        <v>0</v>
      </c>
      <c r="H320" s="83">
        <v>1</v>
      </c>
      <c r="I320" s="83" t="s">
        <v>61</v>
      </c>
      <c r="J320" s="29" t="s">
        <v>136</v>
      </c>
      <c r="K320" s="6">
        <v>0</v>
      </c>
      <c r="L320" s="10" t="str">
        <f t="shared" si="378"/>
        <v>/ year</v>
      </c>
      <c r="M320" s="29">
        <f t="shared" si="379"/>
        <v>6.0837988826815659</v>
      </c>
      <c r="N320" s="83">
        <v>0</v>
      </c>
      <c r="O320" s="83">
        <v>1</v>
      </c>
      <c r="P320" s="55" t="s">
        <v>75</v>
      </c>
      <c r="Q320" s="55" t="s">
        <v>75</v>
      </c>
      <c r="R320" s="83">
        <v>0</v>
      </c>
      <c r="S320" s="61">
        <f t="shared" si="380"/>
        <v>0</v>
      </c>
      <c r="T320" s="61"/>
      <c r="U320" s="61"/>
      <c r="V320" s="61"/>
      <c r="W320" s="312">
        <f t="shared" si="381"/>
        <v>0</v>
      </c>
    </row>
    <row r="321" spans="1:28" ht="18" customHeight="1" x14ac:dyDescent="0.4">
      <c r="A321" s="27" t="s">
        <v>42</v>
      </c>
      <c r="B321" s="19">
        <f t="shared" si="375"/>
        <v>0</v>
      </c>
      <c r="C321" s="9"/>
      <c r="D321" s="20">
        <f t="shared" si="382"/>
        <v>0</v>
      </c>
      <c r="E321" s="9"/>
      <c r="F321" s="81">
        <f t="shared" si="376"/>
        <v>0</v>
      </c>
      <c r="G321" s="71">
        <f t="shared" si="377"/>
        <v>0</v>
      </c>
      <c r="H321" s="83">
        <v>1</v>
      </c>
      <c r="I321" s="83" t="s">
        <v>61</v>
      </c>
      <c r="J321" s="29" t="s">
        <v>136</v>
      </c>
      <c r="K321" s="6">
        <v>0</v>
      </c>
      <c r="L321" s="10" t="str">
        <f t="shared" si="378"/>
        <v>/ year</v>
      </c>
      <c r="M321" s="29">
        <f t="shared" si="379"/>
        <v>6.0837988826815659</v>
      </c>
      <c r="N321" s="83">
        <v>0</v>
      </c>
      <c r="O321" s="83">
        <v>1</v>
      </c>
      <c r="P321" s="55" t="s">
        <v>75</v>
      </c>
      <c r="Q321" s="55" t="s">
        <v>75</v>
      </c>
      <c r="R321" s="83">
        <v>0</v>
      </c>
      <c r="S321" s="61">
        <f t="shared" si="380"/>
        <v>0</v>
      </c>
      <c r="T321" s="61"/>
      <c r="U321" s="61"/>
      <c r="V321" s="61"/>
      <c r="W321" s="312">
        <f t="shared" si="381"/>
        <v>0</v>
      </c>
      <c r="Z321" s="21">
        <f>SUM(B315:B322)</f>
        <v>0</v>
      </c>
      <c r="AA321" s="21">
        <f>SUM(D315:D322)</f>
        <v>0</v>
      </c>
      <c r="AB321" s="74" t="s">
        <v>313</v>
      </c>
    </row>
    <row r="322" spans="1:28" ht="18" customHeight="1" x14ac:dyDescent="0.4">
      <c r="A322" s="15"/>
      <c r="B322" s="9"/>
      <c r="C322" s="9"/>
      <c r="D322" s="16"/>
      <c r="E322" s="9"/>
      <c r="F322" s="17"/>
      <c r="G322" s="71"/>
      <c r="Z322" s="11"/>
      <c r="AB322" s="145"/>
    </row>
    <row r="323" spans="1:28" ht="18" customHeight="1" x14ac:dyDescent="0.4">
      <c r="A323" s="15" t="s">
        <v>162</v>
      </c>
      <c r="B323" s="9">
        <f>SUM(B315:B322)</f>
        <v>0</v>
      </c>
      <c r="C323" s="9"/>
      <c r="D323" s="16">
        <f>SUM(D315:D322)</f>
        <v>0</v>
      </c>
      <c r="E323" s="9"/>
      <c r="F323" s="16">
        <f>SUM(F315:F322)</f>
        <v>0</v>
      </c>
      <c r="G323" s="71">
        <f>SUM(G315:G322)</f>
        <v>0</v>
      </c>
      <c r="Z323" s="17">
        <f>SUM(Z315:Z321)</f>
        <v>0</v>
      </c>
      <c r="AA323" s="17">
        <f>SUM(AA315:AA321)</f>
        <v>0</v>
      </c>
      <c r="AB323" s="17">
        <f>AA313+AA323</f>
        <v>3040.383368150774</v>
      </c>
    </row>
    <row r="324" spans="1:28" ht="18" customHeight="1" x14ac:dyDescent="0.4">
      <c r="A324" s="15"/>
      <c r="B324" s="9"/>
      <c r="C324" s="9"/>
      <c r="D324" s="16"/>
      <c r="E324" s="9"/>
      <c r="F324" s="17"/>
      <c r="G324" s="71"/>
    </row>
    <row r="325" spans="1:28" ht="7.5" customHeight="1" x14ac:dyDescent="0.4">
      <c r="A325" s="32"/>
      <c r="B325" s="28"/>
      <c r="C325" s="9"/>
      <c r="D325" s="17"/>
      <c r="E325" s="9"/>
      <c r="F325" s="17"/>
      <c r="G325" s="70"/>
    </row>
    <row r="326" spans="1:28" ht="18" customHeight="1" x14ac:dyDescent="0.4">
      <c r="A326" s="15" t="s">
        <v>124</v>
      </c>
      <c r="B326" s="28"/>
      <c r="C326" s="9"/>
      <c r="D326" s="17"/>
      <c r="E326" s="9"/>
      <c r="F326" s="17"/>
      <c r="G326" s="70"/>
    </row>
    <row r="327" spans="1:28" ht="18" customHeight="1" x14ac:dyDescent="0.4">
      <c r="A327" s="24" t="s">
        <v>45</v>
      </c>
      <c r="B327" s="36"/>
      <c r="C327" s="9"/>
      <c r="D327" s="17"/>
      <c r="E327" s="9"/>
      <c r="F327" s="17"/>
      <c r="G327" s="70"/>
      <c r="H327" s="33"/>
      <c r="I327" s="34" t="s">
        <v>84</v>
      </c>
      <c r="J327" s="35" t="s">
        <v>183</v>
      </c>
      <c r="K327" s="35" t="s">
        <v>131</v>
      </c>
      <c r="L327" s="35" t="s">
        <v>132</v>
      </c>
      <c r="M327" s="34" t="s">
        <v>134</v>
      </c>
      <c r="N327" s="34" t="s">
        <v>149</v>
      </c>
      <c r="O327" s="34"/>
      <c r="P327" s="13" t="s">
        <v>78</v>
      </c>
      <c r="Q327" s="13" t="s">
        <v>78</v>
      </c>
    </row>
    <row r="328" spans="1:28" ht="18" customHeight="1" x14ac:dyDescent="0.4">
      <c r="A328" s="37" t="s">
        <v>106</v>
      </c>
      <c r="B328" s="19"/>
      <c r="C328" s="19"/>
      <c r="D328" s="38"/>
      <c r="E328" s="19"/>
      <c r="F328" s="38"/>
      <c r="G328" s="72"/>
      <c r="H328" s="13" t="s">
        <v>139</v>
      </c>
      <c r="I328" s="34" t="s">
        <v>143</v>
      </c>
      <c r="J328" s="35" t="s">
        <v>130</v>
      </c>
      <c r="K328" s="35" t="s">
        <v>130</v>
      </c>
      <c r="L328" s="35" t="s">
        <v>133</v>
      </c>
      <c r="M328" s="34" t="s">
        <v>135</v>
      </c>
      <c r="N328" s="34" t="s">
        <v>180</v>
      </c>
      <c r="O328" s="13" t="s">
        <v>349</v>
      </c>
      <c r="P328" s="13" t="s">
        <v>73</v>
      </c>
      <c r="Q328" s="13" t="s">
        <v>74</v>
      </c>
      <c r="R328" s="13" t="s">
        <v>192</v>
      </c>
      <c r="W328" s="13" t="s">
        <v>37</v>
      </c>
    </row>
    <row r="329" spans="1:28" ht="18" customHeight="1" x14ac:dyDescent="0.4">
      <c r="A329" s="27" t="s">
        <v>152</v>
      </c>
      <c r="B329" s="19">
        <f t="shared" ref="B329:B334" si="383">(J329-K329)/L329</f>
        <v>0</v>
      </c>
      <c r="C329" s="9"/>
      <c r="D329" s="20">
        <f t="shared" ref="D329:D334" si="384">IF($D$5=0,W329,B329/$J$14)</f>
        <v>0</v>
      </c>
      <c r="E329" s="9"/>
      <c r="F329" s="81">
        <f t="shared" ref="F329:F334" si="385">IF($F$5=0,(B329/($H$6/1000)),B329/$M$416)</f>
        <v>0</v>
      </c>
      <c r="G329" s="71">
        <f t="shared" ref="G329:G334" si="386">B329/$B$399</f>
        <v>0</v>
      </c>
      <c r="H329" s="83">
        <v>0</v>
      </c>
      <c r="I329" s="86">
        <v>0</v>
      </c>
      <c r="J329" s="19">
        <f t="shared" ref="J329:J334" si="387">H329*I329</f>
        <v>0</v>
      </c>
      <c r="K329" s="19">
        <f t="shared" ref="K329:K334" si="388">J329*N329</f>
        <v>0</v>
      </c>
      <c r="L329" s="3">
        <v>1</v>
      </c>
      <c r="M329" s="25" t="s">
        <v>136</v>
      </c>
      <c r="N329" s="39">
        <v>0.75</v>
      </c>
      <c r="O329" s="83">
        <v>0</v>
      </c>
      <c r="P329" s="83" t="s">
        <v>75</v>
      </c>
      <c r="Q329" s="83" t="s">
        <v>75</v>
      </c>
      <c r="R329" s="55">
        <v>0</v>
      </c>
      <c r="W329" s="312">
        <f t="shared" ref="W329:W334" si="389">IF(beepasture&lt;1,B329,B329/$H$5)</f>
        <v>0</v>
      </c>
    </row>
    <row r="330" spans="1:28" ht="18" customHeight="1" x14ac:dyDescent="0.4">
      <c r="A330" s="27" t="s">
        <v>153</v>
      </c>
      <c r="B330" s="19">
        <f t="shared" si="383"/>
        <v>0</v>
      </c>
      <c r="C330" s="9"/>
      <c r="D330" s="20">
        <f t="shared" si="384"/>
        <v>0</v>
      </c>
      <c r="E330" s="9"/>
      <c r="F330" s="81">
        <f t="shared" si="385"/>
        <v>0</v>
      </c>
      <c r="G330" s="71">
        <f t="shared" si="386"/>
        <v>0</v>
      </c>
      <c r="H330" s="83">
        <v>0</v>
      </c>
      <c r="I330" s="86">
        <v>0</v>
      </c>
      <c r="J330" s="19">
        <f t="shared" si="387"/>
        <v>0</v>
      </c>
      <c r="K330" s="19">
        <f t="shared" si="388"/>
        <v>0</v>
      </c>
      <c r="L330" s="3">
        <v>1</v>
      </c>
      <c r="M330" s="25" t="s">
        <v>136</v>
      </c>
      <c r="N330" s="39">
        <v>0.75</v>
      </c>
      <c r="O330" s="83">
        <v>0</v>
      </c>
      <c r="P330" s="83" t="s">
        <v>75</v>
      </c>
      <c r="Q330" s="83" t="s">
        <v>75</v>
      </c>
      <c r="R330" s="55">
        <v>0</v>
      </c>
      <c r="W330" s="312">
        <f t="shared" si="389"/>
        <v>0</v>
      </c>
    </row>
    <row r="331" spans="1:28" ht="18" customHeight="1" x14ac:dyDescent="0.4">
      <c r="A331" s="27" t="s">
        <v>154</v>
      </c>
      <c r="B331" s="19">
        <f t="shared" si="383"/>
        <v>0</v>
      </c>
      <c r="C331" s="9"/>
      <c r="D331" s="20">
        <f t="shared" si="384"/>
        <v>0</v>
      </c>
      <c r="E331" s="9"/>
      <c r="F331" s="81">
        <f t="shared" si="385"/>
        <v>0</v>
      </c>
      <c r="G331" s="71">
        <f t="shared" si="386"/>
        <v>0</v>
      </c>
      <c r="H331" s="83">
        <v>0</v>
      </c>
      <c r="I331" s="86">
        <v>0</v>
      </c>
      <c r="J331" s="19">
        <f t="shared" si="387"/>
        <v>0</v>
      </c>
      <c r="K331" s="19">
        <f t="shared" si="388"/>
        <v>0</v>
      </c>
      <c r="L331" s="3">
        <v>1</v>
      </c>
      <c r="M331" s="25" t="s">
        <v>136</v>
      </c>
      <c r="N331" s="39">
        <v>0.75</v>
      </c>
      <c r="O331" s="83">
        <v>0</v>
      </c>
      <c r="P331" s="83" t="s">
        <v>75</v>
      </c>
      <c r="Q331" s="83" t="s">
        <v>75</v>
      </c>
      <c r="R331" s="55">
        <v>0</v>
      </c>
      <c r="W331" s="312">
        <f t="shared" si="389"/>
        <v>0</v>
      </c>
    </row>
    <row r="332" spans="1:28" ht="18" customHeight="1" x14ac:dyDescent="0.4">
      <c r="A332" s="185" t="s">
        <v>179</v>
      </c>
      <c r="B332" s="199">
        <f>((J332-K332)/L332)*$J$1</f>
        <v>4.166666666666667</v>
      </c>
      <c r="C332" s="200"/>
      <c r="D332" s="201">
        <f t="shared" si="384"/>
        <v>4.166666666666667</v>
      </c>
      <c r="E332" s="200"/>
      <c r="F332" s="201">
        <f t="shared" si="385"/>
        <v>0.58193668528864073</v>
      </c>
      <c r="G332" s="202">
        <f t="shared" si="386"/>
        <v>1.3624071305233538E-2</v>
      </c>
      <c r="H332" s="204">
        <f>IF((SUM($H$2:$H$4)+SUM($S$9:$S$11))&gt;0,O332,0)</f>
        <v>1</v>
      </c>
      <c r="I332" s="199">
        <f>IF((SUM($H$2:$H$4)+SUM($S$9:$S$11))&gt;0,O332*R332,0)</f>
        <v>50000</v>
      </c>
      <c r="J332" s="199">
        <f t="shared" si="387"/>
        <v>50000</v>
      </c>
      <c r="K332" s="199">
        <f t="shared" si="388"/>
        <v>37500</v>
      </c>
      <c r="L332" s="3">
        <v>30</v>
      </c>
      <c r="M332" s="206" t="s">
        <v>136</v>
      </c>
      <c r="N332" s="39">
        <v>0.75</v>
      </c>
      <c r="O332" s="204">
        <v>1</v>
      </c>
      <c r="P332" s="83" t="s">
        <v>75</v>
      </c>
      <c r="Q332" s="83" t="s">
        <v>75</v>
      </c>
      <c r="R332" s="55">
        <v>50000</v>
      </c>
      <c r="W332" s="313">
        <f t="shared" si="389"/>
        <v>4.166666666666667</v>
      </c>
    </row>
    <row r="333" spans="1:28" ht="18" customHeight="1" x14ac:dyDescent="0.4">
      <c r="A333" s="27" t="s">
        <v>155</v>
      </c>
      <c r="B333" s="19">
        <f t="shared" si="383"/>
        <v>0</v>
      </c>
      <c r="C333" s="9"/>
      <c r="D333" s="20">
        <f t="shared" si="384"/>
        <v>0</v>
      </c>
      <c r="E333" s="9"/>
      <c r="F333" s="81">
        <f t="shared" si="385"/>
        <v>0</v>
      </c>
      <c r="G333" s="71">
        <f t="shared" si="386"/>
        <v>0</v>
      </c>
      <c r="H333" s="83">
        <v>0</v>
      </c>
      <c r="I333" s="86">
        <v>0</v>
      </c>
      <c r="J333" s="19">
        <f t="shared" si="387"/>
        <v>0</v>
      </c>
      <c r="K333" s="19">
        <f t="shared" si="388"/>
        <v>0</v>
      </c>
      <c r="L333" s="3">
        <v>1</v>
      </c>
      <c r="M333" s="25" t="s">
        <v>136</v>
      </c>
      <c r="N333" s="39">
        <v>0.75</v>
      </c>
      <c r="O333" s="83">
        <v>0</v>
      </c>
      <c r="P333" s="83" t="s">
        <v>75</v>
      </c>
      <c r="Q333" s="83" t="s">
        <v>75</v>
      </c>
      <c r="R333" s="55">
        <v>0</v>
      </c>
      <c r="W333" s="312">
        <f t="shared" si="389"/>
        <v>0</v>
      </c>
    </row>
    <row r="334" spans="1:28" ht="18" customHeight="1" x14ac:dyDescent="0.4">
      <c r="A334" s="27" t="s">
        <v>314</v>
      </c>
      <c r="B334" s="19">
        <f t="shared" si="383"/>
        <v>0</v>
      </c>
      <c r="C334" s="9"/>
      <c r="D334" s="20">
        <f t="shared" si="384"/>
        <v>0</v>
      </c>
      <c r="E334" s="9"/>
      <c r="F334" s="81">
        <f t="shared" si="385"/>
        <v>0</v>
      </c>
      <c r="G334" s="71">
        <f t="shared" si="386"/>
        <v>0</v>
      </c>
      <c r="H334" s="83">
        <v>0</v>
      </c>
      <c r="I334" s="86">
        <v>0</v>
      </c>
      <c r="J334" s="19">
        <f t="shared" si="387"/>
        <v>0</v>
      </c>
      <c r="K334" s="19">
        <f t="shared" si="388"/>
        <v>0</v>
      </c>
      <c r="L334" s="3">
        <v>1</v>
      </c>
      <c r="M334" s="25" t="s">
        <v>136</v>
      </c>
      <c r="N334" s="39">
        <v>0.75</v>
      </c>
      <c r="O334" s="83">
        <v>0</v>
      </c>
      <c r="P334" s="83" t="s">
        <v>75</v>
      </c>
      <c r="Q334" s="83" t="s">
        <v>75</v>
      </c>
      <c r="R334" s="55">
        <v>0</v>
      </c>
      <c r="W334" s="312">
        <f t="shared" si="389"/>
        <v>0</v>
      </c>
      <c r="Z334" s="21">
        <f>SUM(B328:B334)</f>
        <v>4.166666666666667</v>
      </c>
      <c r="AA334" s="21">
        <f>SUM(D328:D334)</f>
        <v>4.166666666666667</v>
      </c>
      <c r="AB334" s="74" t="s">
        <v>315</v>
      </c>
    </row>
    <row r="335" spans="1:28" ht="18" customHeight="1" x14ac:dyDescent="0.4">
      <c r="A335" s="40" t="s">
        <v>742</v>
      </c>
      <c r="B335" s="19"/>
      <c r="C335" s="9"/>
      <c r="D335" s="21"/>
      <c r="E335" s="9"/>
      <c r="F335" s="21"/>
      <c r="G335" s="73"/>
      <c r="H335" s="13" t="s">
        <v>139</v>
      </c>
      <c r="I335" s="34" t="s">
        <v>192</v>
      </c>
      <c r="J335" s="34" t="s">
        <v>193</v>
      </c>
      <c r="K335" s="34" t="s">
        <v>316</v>
      </c>
      <c r="L335" s="34" t="s">
        <v>78</v>
      </c>
      <c r="M335" s="34" t="s">
        <v>194</v>
      </c>
      <c r="N335" s="34" t="s">
        <v>317</v>
      </c>
      <c r="O335" s="13" t="s">
        <v>349</v>
      </c>
      <c r="P335" s="13" t="s">
        <v>80</v>
      </c>
      <c r="Q335" s="13" t="s">
        <v>81</v>
      </c>
      <c r="R335" s="13" t="s">
        <v>192</v>
      </c>
      <c r="W335" s="11"/>
    </row>
    <row r="336" spans="1:28" ht="18" customHeight="1" x14ac:dyDescent="0.4">
      <c r="A336" s="27" t="s">
        <v>113</v>
      </c>
      <c r="B336" s="19">
        <f t="shared" ref="B336:B349" si="390">(J336-K336)/L336</f>
        <v>0</v>
      </c>
      <c r="C336" s="9"/>
      <c r="D336" s="20">
        <f t="shared" ref="D336:D375" si="391">IF($D$5=0,W336,B336/$J$14)</f>
        <v>0</v>
      </c>
      <c r="E336" s="9"/>
      <c r="F336" s="81">
        <f t="shared" ref="F336:F375" si="392">IF($F$5=0,(B336/($H$6/1000)),B336/$M$416)</f>
        <v>0</v>
      </c>
      <c r="G336" s="71">
        <f t="shared" ref="G336:G375" si="393">B336/$B$399</f>
        <v>0</v>
      </c>
      <c r="H336" s="83">
        <v>0</v>
      </c>
      <c r="I336" s="86">
        <v>0</v>
      </c>
      <c r="J336" s="19">
        <f t="shared" ref="J336:J375" si="394">H336*I336</f>
        <v>0</v>
      </c>
      <c r="K336" s="19">
        <f t="shared" ref="K336:K375" si="395">J336*N336</f>
        <v>0</v>
      </c>
      <c r="L336" s="3">
        <v>1</v>
      </c>
      <c r="M336" s="25" t="s">
        <v>136</v>
      </c>
      <c r="N336" s="39">
        <v>0.2</v>
      </c>
      <c r="O336" s="83">
        <v>0</v>
      </c>
      <c r="P336" s="83" t="s">
        <v>75</v>
      </c>
      <c r="Q336" s="83" t="s">
        <v>75</v>
      </c>
      <c r="R336" s="55">
        <v>0</v>
      </c>
      <c r="W336" s="312">
        <f t="shared" ref="W336:W375" si="396">IF(beepasture&lt;1,B336,B336/$H$5)</f>
        <v>0</v>
      </c>
    </row>
    <row r="337" spans="1:23" ht="18" customHeight="1" x14ac:dyDescent="0.4">
      <c r="A337" s="27" t="s">
        <v>114</v>
      </c>
      <c r="B337" s="19">
        <f t="shared" si="390"/>
        <v>0</v>
      </c>
      <c r="C337" s="9"/>
      <c r="D337" s="20">
        <f t="shared" si="391"/>
        <v>0</v>
      </c>
      <c r="E337" s="9"/>
      <c r="F337" s="81">
        <f t="shared" si="392"/>
        <v>0</v>
      </c>
      <c r="G337" s="71">
        <f t="shared" si="393"/>
        <v>0</v>
      </c>
      <c r="H337" s="83">
        <v>0</v>
      </c>
      <c r="I337" s="86">
        <v>0</v>
      </c>
      <c r="J337" s="19">
        <f t="shared" si="394"/>
        <v>0</v>
      </c>
      <c r="K337" s="19">
        <f t="shared" si="395"/>
        <v>0</v>
      </c>
      <c r="L337" s="3">
        <v>1</v>
      </c>
      <c r="M337" s="25" t="s">
        <v>136</v>
      </c>
      <c r="N337" s="39">
        <v>0.2</v>
      </c>
      <c r="O337" s="83">
        <v>0</v>
      </c>
      <c r="P337" s="83" t="s">
        <v>75</v>
      </c>
      <c r="Q337" s="83" t="s">
        <v>75</v>
      </c>
      <c r="R337" s="55">
        <v>0</v>
      </c>
      <c r="W337" s="312">
        <f t="shared" si="396"/>
        <v>0</v>
      </c>
    </row>
    <row r="338" spans="1:23" ht="18" customHeight="1" x14ac:dyDescent="0.4">
      <c r="A338" s="158" t="s">
        <v>318</v>
      </c>
      <c r="B338" s="159">
        <f>(J338-K338)/L338</f>
        <v>0</v>
      </c>
      <c r="C338" s="9"/>
      <c r="D338" s="20">
        <f t="shared" si="391"/>
        <v>0</v>
      </c>
      <c r="E338" s="9"/>
      <c r="F338" s="81">
        <f t="shared" si="392"/>
        <v>0</v>
      </c>
      <c r="G338" s="71">
        <f t="shared" si="393"/>
        <v>0</v>
      </c>
      <c r="H338" s="29">
        <f>IF(SUM($H$3:$H$4)&gt;0,O338,0)</f>
        <v>0</v>
      </c>
      <c r="I338" s="19">
        <f>IF(SUM($H$3:$H$4)&gt;0,O338*R338,0)</f>
        <v>0</v>
      </c>
      <c r="J338" s="19">
        <f>H338*I338</f>
        <v>0</v>
      </c>
      <c r="K338" s="19">
        <f t="shared" si="395"/>
        <v>0</v>
      </c>
      <c r="L338" s="3">
        <v>30</v>
      </c>
      <c r="M338" s="25" t="s">
        <v>136</v>
      </c>
      <c r="N338" s="39">
        <v>0</v>
      </c>
      <c r="O338" s="83">
        <v>1</v>
      </c>
      <c r="P338" s="83" t="s">
        <v>75</v>
      </c>
      <c r="Q338" s="83" t="s">
        <v>75</v>
      </c>
      <c r="R338" s="55">
        <v>529</v>
      </c>
      <c r="W338" s="312">
        <f t="shared" si="396"/>
        <v>0</v>
      </c>
    </row>
    <row r="339" spans="1:23" ht="18" customHeight="1" x14ac:dyDescent="0.4">
      <c r="A339" s="27" t="s">
        <v>319</v>
      </c>
      <c r="B339" s="19">
        <f t="shared" si="390"/>
        <v>0</v>
      </c>
      <c r="C339" s="9"/>
      <c r="D339" s="20">
        <f t="shared" si="391"/>
        <v>0</v>
      </c>
      <c r="E339" s="9"/>
      <c r="F339" s="81">
        <f t="shared" si="392"/>
        <v>0</v>
      </c>
      <c r="G339" s="71">
        <f t="shared" si="393"/>
        <v>0</v>
      </c>
      <c r="H339" s="83">
        <v>0</v>
      </c>
      <c r="I339" s="86">
        <v>0</v>
      </c>
      <c r="J339" s="19">
        <f t="shared" si="394"/>
        <v>0</v>
      </c>
      <c r="K339" s="19">
        <f t="shared" si="395"/>
        <v>0</v>
      </c>
      <c r="L339" s="3">
        <v>1</v>
      </c>
      <c r="M339" s="25" t="s">
        <v>136</v>
      </c>
      <c r="N339" s="39">
        <v>0.2</v>
      </c>
      <c r="O339" s="83">
        <v>0</v>
      </c>
      <c r="P339" s="83" t="s">
        <v>75</v>
      </c>
      <c r="Q339" s="83" t="s">
        <v>75</v>
      </c>
      <c r="R339" s="55">
        <v>0</v>
      </c>
      <c r="W339" s="312">
        <f t="shared" si="396"/>
        <v>0</v>
      </c>
    </row>
    <row r="340" spans="1:23" ht="18" customHeight="1" x14ac:dyDescent="0.4">
      <c r="A340" s="27" t="s">
        <v>320</v>
      </c>
      <c r="B340" s="19">
        <f t="shared" si="390"/>
        <v>0</v>
      </c>
      <c r="C340" s="9"/>
      <c r="D340" s="20">
        <f t="shared" si="391"/>
        <v>0</v>
      </c>
      <c r="E340" s="9"/>
      <c r="F340" s="81">
        <f t="shared" si="392"/>
        <v>0</v>
      </c>
      <c r="G340" s="71">
        <f t="shared" si="393"/>
        <v>0</v>
      </c>
      <c r="H340" s="83">
        <v>0</v>
      </c>
      <c r="I340" s="86">
        <v>0</v>
      </c>
      <c r="J340" s="19">
        <f t="shared" si="394"/>
        <v>0</v>
      </c>
      <c r="K340" s="19">
        <f t="shared" si="395"/>
        <v>0</v>
      </c>
      <c r="L340" s="3">
        <v>1</v>
      </c>
      <c r="M340" s="25" t="s">
        <v>136</v>
      </c>
      <c r="N340" s="39">
        <v>0.2</v>
      </c>
      <c r="O340" s="83">
        <v>0</v>
      </c>
      <c r="P340" s="83" t="s">
        <v>75</v>
      </c>
      <c r="Q340" s="83" t="s">
        <v>75</v>
      </c>
      <c r="R340" s="55">
        <v>0</v>
      </c>
      <c r="W340" s="312">
        <f t="shared" si="396"/>
        <v>0</v>
      </c>
    </row>
    <row r="341" spans="1:23" ht="18" customHeight="1" x14ac:dyDescent="0.4">
      <c r="A341" s="158" t="s">
        <v>321</v>
      </c>
      <c r="B341" s="159">
        <f>(J341-K341)/L341</f>
        <v>0</v>
      </c>
      <c r="C341" s="9"/>
      <c r="D341" s="20">
        <f t="shared" si="391"/>
        <v>0</v>
      </c>
      <c r="E341" s="9"/>
      <c r="F341" s="81">
        <f t="shared" si="392"/>
        <v>0</v>
      </c>
      <c r="G341" s="71">
        <f t="shared" si="393"/>
        <v>0</v>
      </c>
      <c r="H341" s="83">
        <v>0</v>
      </c>
      <c r="I341" s="86">
        <v>0</v>
      </c>
      <c r="J341" s="19">
        <f>H341*I341</f>
        <v>0</v>
      </c>
      <c r="K341" s="19">
        <f t="shared" si="395"/>
        <v>0</v>
      </c>
      <c r="L341" s="3">
        <v>10</v>
      </c>
      <c r="M341" s="25" t="s">
        <v>136</v>
      </c>
      <c r="N341" s="39">
        <v>0.2</v>
      </c>
      <c r="O341" s="83">
        <v>1</v>
      </c>
      <c r="P341" s="83" t="s">
        <v>75</v>
      </c>
      <c r="Q341" s="83" t="s">
        <v>75</v>
      </c>
      <c r="R341" s="55">
        <v>5000</v>
      </c>
      <c r="W341" s="312">
        <f t="shared" si="396"/>
        <v>0</v>
      </c>
    </row>
    <row r="342" spans="1:23" ht="18" customHeight="1" x14ac:dyDescent="0.4">
      <c r="A342" s="185" t="s">
        <v>383</v>
      </c>
      <c r="B342" s="199">
        <f>((J342-K342)/L342)*$J$1</f>
        <v>0</v>
      </c>
      <c r="C342" s="200"/>
      <c r="D342" s="201">
        <f t="shared" si="391"/>
        <v>0</v>
      </c>
      <c r="E342" s="200"/>
      <c r="F342" s="201">
        <f t="shared" si="392"/>
        <v>0</v>
      </c>
      <c r="G342" s="202">
        <f t="shared" si="393"/>
        <v>0</v>
      </c>
      <c r="H342" s="204">
        <f t="shared" ref="H342:H343" si="397">IF((SUM($H$3:$H$4)+$S$10)&gt;0,O342,0)</f>
        <v>0</v>
      </c>
      <c r="I342" s="199">
        <f>IF(((SUM($H$3:$H$4)+$S$10)*$AD$15)&gt;0,O342*R342,0)</f>
        <v>0</v>
      </c>
      <c r="J342" s="199">
        <f t="shared" ref="J342" si="398">H342*I342</f>
        <v>0</v>
      </c>
      <c r="K342" s="199">
        <f t="shared" si="395"/>
        <v>0</v>
      </c>
      <c r="L342" s="3">
        <v>10</v>
      </c>
      <c r="M342" s="206" t="s">
        <v>136</v>
      </c>
      <c r="N342" s="39">
        <v>0.2</v>
      </c>
      <c r="O342" s="204">
        <f>IF($AD$15&gt;0,1,0)</f>
        <v>0</v>
      </c>
      <c r="P342" s="83" t="s">
        <v>75</v>
      </c>
      <c r="Q342" s="83" t="s">
        <v>75</v>
      </c>
      <c r="R342" s="55">
        <v>1500</v>
      </c>
      <c r="W342" s="313">
        <f t="shared" si="396"/>
        <v>0</v>
      </c>
    </row>
    <row r="343" spans="1:23" ht="18" customHeight="1" x14ac:dyDescent="0.4">
      <c r="A343" s="185" t="s">
        <v>384</v>
      </c>
      <c r="B343" s="199">
        <f>((J343-K343)/L343)*$J$1</f>
        <v>0</v>
      </c>
      <c r="C343" s="200"/>
      <c r="D343" s="201">
        <f t="shared" si="391"/>
        <v>0</v>
      </c>
      <c r="E343" s="200"/>
      <c r="F343" s="201">
        <f t="shared" si="392"/>
        <v>0</v>
      </c>
      <c r="G343" s="202">
        <f t="shared" si="393"/>
        <v>0</v>
      </c>
      <c r="H343" s="204">
        <f t="shared" si="397"/>
        <v>0</v>
      </c>
      <c r="I343" s="199">
        <f>IF(((SUM($H$3:$H$4)+$S$10)*$AD$16)&gt;0,O343*R343,0)</f>
        <v>0</v>
      </c>
      <c r="J343" s="199">
        <f t="shared" ref="J343:J344" si="399">H343*I343</f>
        <v>0</v>
      </c>
      <c r="K343" s="199">
        <f t="shared" ref="K343:K344" si="400">J343*N343</f>
        <v>0</v>
      </c>
      <c r="L343" s="3">
        <v>10</v>
      </c>
      <c r="M343" s="206" t="s">
        <v>136</v>
      </c>
      <c r="N343" s="39">
        <v>0.2</v>
      </c>
      <c r="O343" s="204">
        <f>IF($AD$16&gt;0,1,0)</f>
        <v>0</v>
      </c>
      <c r="P343" s="83" t="s">
        <v>75</v>
      </c>
      <c r="Q343" s="83" t="s">
        <v>75</v>
      </c>
      <c r="R343" s="55">
        <v>3500</v>
      </c>
      <c r="W343" s="313">
        <f t="shared" si="396"/>
        <v>0</v>
      </c>
    </row>
    <row r="344" spans="1:23" ht="18" customHeight="1" x14ac:dyDescent="0.4">
      <c r="A344" s="185" t="s">
        <v>385</v>
      </c>
      <c r="B344" s="199">
        <f>((J344-K344)/L344)*$J$1</f>
        <v>4</v>
      </c>
      <c r="C344" s="200"/>
      <c r="D344" s="201">
        <f t="shared" si="391"/>
        <v>4</v>
      </c>
      <c r="E344" s="200"/>
      <c r="F344" s="201">
        <f t="shared" si="392"/>
        <v>0.55865921787709505</v>
      </c>
      <c r="G344" s="202">
        <f t="shared" si="393"/>
        <v>1.3079108453024195E-2</v>
      </c>
      <c r="H344" s="204">
        <f>IF((SUM($H$3:$H$4)+$S$10)&gt;0,O344,0)</f>
        <v>1</v>
      </c>
      <c r="I344" s="199">
        <f>IF(((SUM($H$3:$H$4)+$S$10)*$AD$17)&gt;0,O344*R344,0)</f>
        <v>5000</v>
      </c>
      <c r="J344" s="199">
        <f t="shared" si="399"/>
        <v>5000</v>
      </c>
      <c r="K344" s="199">
        <f t="shared" si="400"/>
        <v>1000</v>
      </c>
      <c r="L344" s="3">
        <v>10</v>
      </c>
      <c r="M344" s="206" t="s">
        <v>136</v>
      </c>
      <c r="N344" s="39">
        <v>0.2</v>
      </c>
      <c r="O344" s="204">
        <f>IF($AD$17&gt;0,1,0)</f>
        <v>1</v>
      </c>
      <c r="P344" s="83" t="s">
        <v>75</v>
      </c>
      <c r="Q344" s="83" t="s">
        <v>75</v>
      </c>
      <c r="R344" s="55">
        <v>5000</v>
      </c>
      <c r="W344" s="313">
        <f t="shared" si="396"/>
        <v>4</v>
      </c>
    </row>
    <row r="345" spans="1:23" ht="18" customHeight="1" x14ac:dyDescent="0.4">
      <c r="A345" s="27" t="s">
        <v>323</v>
      </c>
      <c r="B345" s="19">
        <f>(J345-K345)/L345</f>
        <v>0</v>
      </c>
      <c r="C345" s="9"/>
      <c r="D345" s="20">
        <f t="shared" si="391"/>
        <v>0</v>
      </c>
      <c r="E345" s="9"/>
      <c r="F345" s="81">
        <f t="shared" si="392"/>
        <v>0</v>
      </c>
      <c r="G345" s="71">
        <f t="shared" si="393"/>
        <v>0</v>
      </c>
      <c r="H345" s="83">
        <v>0</v>
      </c>
      <c r="I345" s="86">
        <v>0</v>
      </c>
      <c r="J345" s="19">
        <f>H345*I345</f>
        <v>0</v>
      </c>
      <c r="K345" s="19">
        <f t="shared" si="395"/>
        <v>0</v>
      </c>
      <c r="L345" s="3">
        <v>1</v>
      </c>
      <c r="M345" s="25" t="s">
        <v>136</v>
      </c>
      <c r="N345" s="39">
        <v>0.2</v>
      </c>
      <c r="O345" s="83">
        <v>0</v>
      </c>
      <c r="P345" s="83" t="s">
        <v>75</v>
      </c>
      <c r="Q345" s="83" t="s">
        <v>75</v>
      </c>
      <c r="R345" s="55">
        <v>0</v>
      </c>
      <c r="W345" s="312">
        <f t="shared" si="396"/>
        <v>0</v>
      </c>
    </row>
    <row r="346" spans="1:23" ht="18" customHeight="1" x14ac:dyDescent="0.4">
      <c r="A346" s="158" t="s">
        <v>324</v>
      </c>
      <c r="B346" s="19">
        <f t="shared" si="390"/>
        <v>0</v>
      </c>
      <c r="C346" s="9"/>
      <c r="D346" s="20">
        <f t="shared" si="391"/>
        <v>0</v>
      </c>
      <c r="E346" s="9"/>
      <c r="F346" s="81">
        <f t="shared" si="392"/>
        <v>0</v>
      </c>
      <c r="G346" s="71">
        <f t="shared" si="393"/>
        <v>0</v>
      </c>
      <c r="H346" s="29">
        <f>IF(SUM($H$3:$H$4)&gt;0,O346,0)</f>
        <v>0</v>
      </c>
      <c r="I346" s="19">
        <f>IF(SUM($H$3:$H$4)&gt;0,O346*R346,0)</f>
        <v>0</v>
      </c>
      <c r="J346" s="19">
        <f t="shared" si="394"/>
        <v>0</v>
      </c>
      <c r="K346" s="19">
        <f t="shared" si="395"/>
        <v>0</v>
      </c>
      <c r="L346" s="3">
        <v>10</v>
      </c>
      <c r="M346" s="25" t="s">
        <v>136</v>
      </c>
      <c r="N346" s="39">
        <v>0.2</v>
      </c>
      <c r="O346" s="83">
        <v>1</v>
      </c>
      <c r="P346" s="83" t="s">
        <v>75</v>
      </c>
      <c r="Q346" s="83" t="s">
        <v>75</v>
      </c>
      <c r="R346" s="55">
        <v>50</v>
      </c>
      <c r="W346" s="312">
        <f t="shared" si="396"/>
        <v>0</v>
      </c>
    </row>
    <row r="347" spans="1:23" ht="18" customHeight="1" x14ac:dyDescent="0.4">
      <c r="A347" s="185" t="s">
        <v>386</v>
      </c>
      <c r="B347" s="199">
        <f t="shared" si="390"/>
        <v>0</v>
      </c>
      <c r="C347" s="200"/>
      <c r="D347" s="201">
        <f t="shared" si="391"/>
        <v>0</v>
      </c>
      <c r="E347" s="200"/>
      <c r="F347" s="201">
        <f t="shared" si="392"/>
        <v>0</v>
      </c>
      <c r="G347" s="202">
        <f t="shared" si="393"/>
        <v>0</v>
      </c>
      <c r="H347" s="204">
        <f>IF($S$2=1,O347,0)</f>
        <v>0</v>
      </c>
      <c r="I347" s="199">
        <f>IF($S$2=1,O347*R347,0)</f>
        <v>0</v>
      </c>
      <c r="J347" s="199">
        <f t="shared" si="394"/>
        <v>0</v>
      </c>
      <c r="K347" s="199">
        <f t="shared" si="395"/>
        <v>0</v>
      </c>
      <c r="L347" s="3">
        <v>10</v>
      </c>
      <c r="M347" s="206" t="s">
        <v>136</v>
      </c>
      <c r="N347" s="39">
        <v>0.2</v>
      </c>
      <c r="O347" s="83">
        <v>1</v>
      </c>
      <c r="P347" s="83" t="s">
        <v>75</v>
      </c>
      <c r="Q347" s="83" t="s">
        <v>75</v>
      </c>
      <c r="R347" s="55">
        <v>3500</v>
      </c>
      <c r="W347" s="312">
        <f t="shared" si="396"/>
        <v>0</v>
      </c>
    </row>
    <row r="348" spans="1:23" ht="18" customHeight="1" x14ac:dyDescent="0.4">
      <c r="A348" s="27" t="s">
        <v>325</v>
      </c>
      <c r="B348" s="19">
        <f t="shared" ref="B348" si="401">(J348-K348)/L348</f>
        <v>0</v>
      </c>
      <c r="C348" s="9"/>
      <c r="D348" s="20">
        <f t="shared" si="391"/>
        <v>0</v>
      </c>
      <c r="E348" s="9"/>
      <c r="F348" s="81">
        <f t="shared" si="392"/>
        <v>0</v>
      </c>
      <c r="G348" s="71">
        <f t="shared" si="393"/>
        <v>0</v>
      </c>
      <c r="H348" s="83">
        <v>0</v>
      </c>
      <c r="I348" s="86">
        <v>0</v>
      </c>
      <c r="J348" s="19">
        <f t="shared" ref="J348" si="402">H348*I348</f>
        <v>0</v>
      </c>
      <c r="K348" s="19">
        <f t="shared" ref="K348" si="403">J348*N348</f>
        <v>0</v>
      </c>
      <c r="L348" s="3">
        <v>1</v>
      </c>
      <c r="M348" s="25" t="s">
        <v>136</v>
      </c>
      <c r="N348" s="39">
        <v>0.2</v>
      </c>
      <c r="O348" s="83">
        <v>0</v>
      </c>
      <c r="P348" s="83" t="s">
        <v>75</v>
      </c>
      <c r="Q348" s="83" t="s">
        <v>75</v>
      </c>
      <c r="R348" s="55">
        <v>0</v>
      </c>
      <c r="W348" s="312">
        <f t="shared" si="396"/>
        <v>0</v>
      </c>
    </row>
    <row r="349" spans="1:23" ht="18" customHeight="1" x14ac:dyDescent="0.4">
      <c r="A349" s="185" t="s">
        <v>382</v>
      </c>
      <c r="B349" s="199">
        <f t="shared" si="390"/>
        <v>40</v>
      </c>
      <c r="C349" s="200"/>
      <c r="D349" s="201">
        <f t="shared" si="391"/>
        <v>40</v>
      </c>
      <c r="E349" s="200"/>
      <c r="F349" s="201">
        <f t="shared" si="392"/>
        <v>5.5865921787709514</v>
      </c>
      <c r="G349" s="219">
        <f t="shared" si="393"/>
        <v>0.13079108453024194</v>
      </c>
      <c r="H349" s="204">
        <f>IF(($S$11+$Y$9)&gt;0,O349,0)</f>
        <v>1</v>
      </c>
      <c r="I349" s="199">
        <f>IF(($S$11+$Y$9)&gt;0,O349*R349,0)</f>
        <v>500</v>
      </c>
      <c r="J349" s="199">
        <f t="shared" si="394"/>
        <v>500</v>
      </c>
      <c r="K349" s="199">
        <f t="shared" si="395"/>
        <v>100</v>
      </c>
      <c r="L349" s="3">
        <v>10</v>
      </c>
      <c r="M349" s="206" t="s">
        <v>136</v>
      </c>
      <c r="N349" s="39">
        <v>0.2</v>
      </c>
      <c r="O349" s="204">
        <v>1</v>
      </c>
      <c r="P349" s="83" t="s">
        <v>75</v>
      </c>
      <c r="Q349" s="83" t="s">
        <v>75</v>
      </c>
      <c r="R349" s="55">
        <v>500</v>
      </c>
      <c r="W349" s="313">
        <f t="shared" si="396"/>
        <v>40</v>
      </c>
    </row>
    <row r="350" spans="1:23" ht="18" customHeight="1" x14ac:dyDescent="0.4">
      <c r="A350" s="158" t="s">
        <v>436</v>
      </c>
      <c r="B350" s="159">
        <f>(J350-K350)/L350</f>
        <v>0</v>
      </c>
      <c r="C350" s="9"/>
      <c r="D350" s="20">
        <f t="shared" si="391"/>
        <v>0</v>
      </c>
      <c r="E350" s="9"/>
      <c r="F350" s="81">
        <f t="shared" si="392"/>
        <v>0</v>
      </c>
      <c r="G350" s="71">
        <f t="shared" si="393"/>
        <v>0</v>
      </c>
      <c r="H350" s="83">
        <v>0</v>
      </c>
      <c r="I350" s="86">
        <v>0</v>
      </c>
      <c r="J350" s="19">
        <f>H350*I350</f>
        <v>0</v>
      </c>
      <c r="K350" s="19">
        <f>J350*N350</f>
        <v>0</v>
      </c>
      <c r="L350" s="3">
        <v>30</v>
      </c>
      <c r="M350" s="25" t="s">
        <v>136</v>
      </c>
      <c r="N350" s="39">
        <v>0</v>
      </c>
      <c r="O350" s="83">
        <v>2</v>
      </c>
      <c r="P350" s="83" t="s">
        <v>75</v>
      </c>
      <c r="Q350" s="83" t="s">
        <v>75</v>
      </c>
      <c r="R350" s="55">
        <v>39.979999999999997</v>
      </c>
      <c r="W350" s="312">
        <f t="shared" si="396"/>
        <v>0</v>
      </c>
    </row>
    <row r="351" spans="1:23" ht="18" customHeight="1" x14ac:dyDescent="0.4">
      <c r="A351" s="185" t="s">
        <v>436</v>
      </c>
      <c r="B351" s="205">
        <f t="shared" ref="B351" si="404">(J351-K351)/L351</f>
        <v>1.3326666666666667</v>
      </c>
      <c r="C351" s="200"/>
      <c r="D351" s="201">
        <f t="shared" si="391"/>
        <v>1.3326666666666667</v>
      </c>
      <c r="E351" s="200"/>
      <c r="F351" s="201">
        <f t="shared" si="392"/>
        <v>0.18612662942271885</v>
      </c>
      <c r="G351" s="242">
        <f t="shared" si="393"/>
        <v>4.3575229662658945E-3</v>
      </c>
      <c r="H351" s="204">
        <f t="shared" ref="H351" si="405">IF((SUM($H$1:$H$4))&gt;0,O351,0)</f>
        <v>1</v>
      </c>
      <c r="I351" s="199">
        <f>IF((SUM($H$1:$H$4))&gt;0,O351*R351,0)</f>
        <v>39.979999999999997</v>
      </c>
      <c r="J351" s="199">
        <f t="shared" ref="J351" si="406">H351*I351</f>
        <v>39.979999999999997</v>
      </c>
      <c r="K351" s="199">
        <f t="shared" ref="K351" si="407">J351*N351</f>
        <v>0</v>
      </c>
      <c r="L351" s="3">
        <v>30</v>
      </c>
      <c r="M351" s="206" t="s">
        <v>136</v>
      </c>
      <c r="N351" s="39">
        <v>0</v>
      </c>
      <c r="O351" s="204">
        <v>1</v>
      </c>
      <c r="P351" s="83" t="s">
        <v>75</v>
      </c>
      <c r="Q351" s="83" t="s">
        <v>75</v>
      </c>
      <c r="R351" s="55">
        <v>39.979999999999997</v>
      </c>
      <c r="W351" s="313">
        <f t="shared" si="396"/>
        <v>1.3326666666666667</v>
      </c>
    </row>
    <row r="352" spans="1:23" ht="18" customHeight="1" x14ac:dyDescent="0.4">
      <c r="A352" s="27" t="s">
        <v>322</v>
      </c>
      <c r="B352" s="19">
        <f>(J352-K352)/L352</f>
        <v>0</v>
      </c>
      <c r="C352" s="9"/>
      <c r="D352" s="20">
        <f t="shared" si="391"/>
        <v>0</v>
      </c>
      <c r="E352" s="9"/>
      <c r="F352" s="81">
        <f t="shared" si="392"/>
        <v>0</v>
      </c>
      <c r="G352" s="71">
        <f t="shared" si="393"/>
        <v>0</v>
      </c>
      <c r="H352" s="83">
        <v>0</v>
      </c>
      <c r="I352" s="86">
        <v>0</v>
      </c>
      <c r="J352" s="19">
        <f>H352*I352</f>
        <v>0</v>
      </c>
      <c r="K352" s="19">
        <f>J352*N352</f>
        <v>0</v>
      </c>
      <c r="L352" s="3">
        <v>1</v>
      </c>
      <c r="M352" s="25" t="s">
        <v>136</v>
      </c>
      <c r="N352" s="39">
        <v>0.2</v>
      </c>
      <c r="O352" s="83">
        <v>0</v>
      </c>
      <c r="P352" s="83" t="s">
        <v>75</v>
      </c>
      <c r="Q352" s="83" t="s">
        <v>75</v>
      </c>
      <c r="R352" s="55">
        <v>0</v>
      </c>
      <c r="S352" s="13" t="s">
        <v>400</v>
      </c>
      <c r="T352" s="13" t="s">
        <v>401</v>
      </c>
      <c r="U352" s="13" t="s">
        <v>402</v>
      </c>
      <c r="W352" s="312">
        <f t="shared" si="396"/>
        <v>0</v>
      </c>
    </row>
    <row r="353" spans="1:23" ht="18" customHeight="1" x14ac:dyDescent="0.4">
      <c r="A353" s="185" t="s">
        <v>404</v>
      </c>
      <c r="B353" s="199">
        <f t="shared" ref="B353" si="408">(J353-K353)/L353</f>
        <v>23.955555555555492</v>
      </c>
      <c r="C353" s="200"/>
      <c r="D353" s="201">
        <f t="shared" si="391"/>
        <v>23.955555555555492</v>
      </c>
      <c r="E353" s="200"/>
      <c r="F353" s="201">
        <f t="shared" si="392"/>
        <v>3.3457479826194829</v>
      </c>
      <c r="G353" s="202">
        <f t="shared" si="393"/>
        <v>7.8329327290889136E-2</v>
      </c>
      <c r="H353" s="203">
        <f>IF($S$9&gt;0,$U$9*O353,0)</f>
        <v>1466.6666666666626</v>
      </c>
      <c r="I353" s="205">
        <f>IF($S$9&gt;0,O354*R353,0)</f>
        <v>4.9000000000000002E-2</v>
      </c>
      <c r="J353" s="199">
        <f t="shared" ref="J353" si="409">H353*I353</f>
        <v>71.866666666666475</v>
      </c>
      <c r="K353" s="199">
        <f t="shared" ref="K353" si="410">J353*N353</f>
        <v>0</v>
      </c>
      <c r="L353" s="3">
        <v>3</v>
      </c>
      <c r="M353" s="206" t="s">
        <v>136</v>
      </c>
      <c r="N353" s="39">
        <v>0</v>
      </c>
      <c r="O353" s="204">
        <v>1</v>
      </c>
      <c r="P353" s="83" t="s">
        <v>75</v>
      </c>
      <c r="Q353" s="83" t="s">
        <v>75</v>
      </c>
      <c r="R353" s="193">
        <f>$U$353</f>
        <v>4.9000000000000002E-2</v>
      </c>
      <c r="S353" s="4">
        <f>20*100</f>
        <v>2000</v>
      </c>
      <c r="T353" s="6">
        <v>98</v>
      </c>
      <c r="U353" s="194">
        <f>T353/S353</f>
        <v>4.9000000000000002E-2</v>
      </c>
      <c r="V353" s="13" t="s">
        <v>406</v>
      </c>
      <c r="W353" s="313">
        <f t="shared" si="396"/>
        <v>23.955555555555492</v>
      </c>
    </row>
    <row r="354" spans="1:23" ht="18" customHeight="1" x14ac:dyDescent="0.4">
      <c r="A354" s="185" t="s">
        <v>387</v>
      </c>
      <c r="B354" s="199">
        <f t="shared" ref="B354" si="411">(J354-K354)/L354</f>
        <v>2.9333333333333251</v>
      </c>
      <c r="C354" s="200"/>
      <c r="D354" s="201">
        <f t="shared" si="391"/>
        <v>2.9333333333333251</v>
      </c>
      <c r="E354" s="200"/>
      <c r="F354" s="201">
        <f t="shared" si="392"/>
        <v>0.40968342644320194</v>
      </c>
      <c r="G354" s="219">
        <f t="shared" si="393"/>
        <v>9.5913461988843835E-3</v>
      </c>
      <c r="H354" s="203">
        <f>IF($S$9&gt;0,($U$9/S354)*V354*O354,0)</f>
        <v>19.5555555555555</v>
      </c>
      <c r="I354" s="205">
        <f>IF($S$9&gt;0,O354*R354,0)</f>
        <v>1.5</v>
      </c>
      <c r="J354" s="199">
        <f t="shared" ref="J354" si="412">H354*I354</f>
        <v>29.33333333333325</v>
      </c>
      <c r="K354" s="199">
        <f t="shared" ref="K354" si="413">J354*N354</f>
        <v>0</v>
      </c>
      <c r="L354" s="3">
        <v>10</v>
      </c>
      <c r="M354" s="206" t="s">
        <v>136</v>
      </c>
      <c r="N354" s="39">
        <v>0</v>
      </c>
      <c r="O354" s="204">
        <v>1</v>
      </c>
      <c r="P354" s="83" t="s">
        <v>75</v>
      </c>
      <c r="Q354" s="83" t="s">
        <v>75</v>
      </c>
      <c r="R354" s="6">
        <v>1.5</v>
      </c>
      <c r="S354" s="4">
        <v>300</v>
      </c>
      <c r="T354" s="10" t="s">
        <v>405</v>
      </c>
      <c r="V354" s="4">
        <v>4</v>
      </c>
      <c r="W354" s="313">
        <f t="shared" si="396"/>
        <v>2.9333333333333251</v>
      </c>
    </row>
    <row r="355" spans="1:23" ht="18" customHeight="1" x14ac:dyDescent="0.4">
      <c r="A355" s="185" t="s">
        <v>326</v>
      </c>
      <c r="B355" s="205">
        <f t="shared" ref="B355:B375" si="414">(J355-K355)/L355</f>
        <v>0</v>
      </c>
      <c r="C355" s="200"/>
      <c r="D355" s="201">
        <f t="shared" si="391"/>
        <v>0</v>
      </c>
      <c r="E355" s="200"/>
      <c r="F355" s="201">
        <f t="shared" si="392"/>
        <v>0</v>
      </c>
      <c r="G355" s="219">
        <f t="shared" si="393"/>
        <v>0</v>
      </c>
      <c r="H355" s="204">
        <f>IF($S$16&gt;0,O355,0)</f>
        <v>0</v>
      </c>
      <c r="I355" s="199">
        <f>IF($S$16&gt;0,O355*R355,0)</f>
        <v>0</v>
      </c>
      <c r="J355" s="199">
        <f t="shared" si="394"/>
        <v>0</v>
      </c>
      <c r="K355" s="199">
        <f t="shared" si="395"/>
        <v>0</v>
      </c>
      <c r="L355" s="3">
        <v>30</v>
      </c>
      <c r="M355" s="206" t="s">
        <v>136</v>
      </c>
      <c r="N355" s="39">
        <v>0.2</v>
      </c>
      <c r="O355" s="204">
        <f>IF((SUM($AD$11:$AD$12)+SUM($AD$17))&gt;0,0,1)</f>
        <v>0</v>
      </c>
      <c r="P355" s="83" t="s">
        <v>75</v>
      </c>
      <c r="Q355" s="83" t="s">
        <v>75</v>
      </c>
      <c r="R355" s="55">
        <v>500</v>
      </c>
      <c r="W355" s="312">
        <f t="shared" si="396"/>
        <v>0</v>
      </c>
    </row>
    <row r="356" spans="1:23" ht="18" customHeight="1" x14ac:dyDescent="0.4">
      <c r="A356" s="185" t="s">
        <v>483</v>
      </c>
      <c r="B356" s="205">
        <f t="shared" ref="B356" si="415">(J356-K356)/L356</f>
        <v>8</v>
      </c>
      <c r="C356" s="200"/>
      <c r="D356" s="201">
        <f t="shared" si="391"/>
        <v>8</v>
      </c>
      <c r="E356" s="200"/>
      <c r="F356" s="201">
        <f t="shared" si="392"/>
        <v>1.1173184357541901</v>
      </c>
      <c r="G356" s="310">
        <f t="shared" si="393"/>
        <v>2.6158216906048391E-2</v>
      </c>
      <c r="H356" s="204">
        <f>IF($S$15&gt;0,O356,0)</f>
        <v>2</v>
      </c>
      <c r="I356" s="199">
        <f>IF($S$15&gt;0,O356*R356,0)</f>
        <v>20</v>
      </c>
      <c r="J356" s="199">
        <f t="shared" ref="J356" si="416">H356*I356</f>
        <v>40</v>
      </c>
      <c r="K356" s="199">
        <f t="shared" ref="K356" si="417">J356*N356</f>
        <v>0</v>
      </c>
      <c r="L356" s="3">
        <v>5</v>
      </c>
      <c r="M356" s="206" t="s">
        <v>136</v>
      </c>
      <c r="N356" s="39">
        <v>0</v>
      </c>
      <c r="O356" s="83">
        <v>2</v>
      </c>
      <c r="P356" s="83" t="s">
        <v>75</v>
      </c>
      <c r="Q356" s="83" t="s">
        <v>75</v>
      </c>
      <c r="R356" s="55">
        <v>10</v>
      </c>
      <c r="W356" s="313">
        <f t="shared" si="396"/>
        <v>8</v>
      </c>
    </row>
    <row r="357" spans="1:23" ht="18" customHeight="1" x14ac:dyDescent="0.4">
      <c r="A357" s="185" t="s">
        <v>458</v>
      </c>
      <c r="B357" s="205">
        <f t="shared" si="414"/>
        <v>8</v>
      </c>
      <c r="C357" s="200"/>
      <c r="D357" s="201">
        <f t="shared" si="391"/>
        <v>8</v>
      </c>
      <c r="E357" s="200"/>
      <c r="F357" s="201">
        <f t="shared" si="392"/>
        <v>1.1173184357541901</v>
      </c>
      <c r="G357" s="310">
        <f t="shared" si="393"/>
        <v>2.6158216906048391E-2</v>
      </c>
      <c r="H357" s="204">
        <f>IF($S$15&gt;0,O357,0)</f>
        <v>2</v>
      </c>
      <c r="I357" s="199">
        <f>IF($S$15&gt;0,O357*R357,0)</f>
        <v>20</v>
      </c>
      <c r="J357" s="199">
        <f t="shared" si="394"/>
        <v>40</v>
      </c>
      <c r="K357" s="199">
        <f t="shared" si="395"/>
        <v>0</v>
      </c>
      <c r="L357" s="3">
        <v>5</v>
      </c>
      <c r="M357" s="206" t="s">
        <v>136</v>
      </c>
      <c r="N357" s="39">
        <v>0</v>
      </c>
      <c r="O357" s="83">
        <v>2</v>
      </c>
      <c r="P357" s="83" t="s">
        <v>75</v>
      </c>
      <c r="Q357" s="83" t="s">
        <v>75</v>
      </c>
      <c r="R357" s="55">
        <v>10</v>
      </c>
      <c r="W357" s="313">
        <f t="shared" si="396"/>
        <v>8</v>
      </c>
    </row>
    <row r="358" spans="1:23" ht="18" customHeight="1" x14ac:dyDescent="0.4">
      <c r="A358" s="185" t="s">
        <v>459</v>
      </c>
      <c r="B358" s="205">
        <f t="shared" si="414"/>
        <v>8</v>
      </c>
      <c r="C358" s="200"/>
      <c r="D358" s="201">
        <f t="shared" si="391"/>
        <v>8</v>
      </c>
      <c r="E358" s="200"/>
      <c r="F358" s="201">
        <f t="shared" si="392"/>
        <v>1.1173184357541901</v>
      </c>
      <c r="G358" s="310">
        <f t="shared" si="393"/>
        <v>2.6158216906048391E-2</v>
      </c>
      <c r="H358" s="204">
        <f>IF($S$15&gt;0,O358,0)</f>
        <v>2</v>
      </c>
      <c r="I358" s="199">
        <f>IF($S$15&gt;0,O358*R358,0)</f>
        <v>20</v>
      </c>
      <c r="J358" s="199">
        <f t="shared" si="394"/>
        <v>40</v>
      </c>
      <c r="K358" s="199">
        <f t="shared" si="395"/>
        <v>0</v>
      </c>
      <c r="L358" s="3">
        <v>5</v>
      </c>
      <c r="M358" s="206" t="s">
        <v>136</v>
      </c>
      <c r="N358" s="39">
        <v>0</v>
      </c>
      <c r="O358" s="83">
        <v>2</v>
      </c>
      <c r="P358" s="83" t="s">
        <v>75</v>
      </c>
      <c r="Q358" s="83" t="s">
        <v>75</v>
      </c>
      <c r="R358" s="55">
        <v>10</v>
      </c>
      <c r="W358" s="313">
        <f t="shared" si="396"/>
        <v>8</v>
      </c>
    </row>
    <row r="359" spans="1:23" ht="18" customHeight="1" x14ac:dyDescent="0.4">
      <c r="A359" s="185" t="s">
        <v>446</v>
      </c>
      <c r="B359" s="205">
        <f t="shared" ref="B359" si="418">(J359-K359)/L359</f>
        <v>0.8</v>
      </c>
      <c r="C359" s="200"/>
      <c r="D359" s="201">
        <f t="shared" si="391"/>
        <v>0.8</v>
      </c>
      <c r="E359" s="200"/>
      <c r="F359" s="201">
        <f t="shared" si="392"/>
        <v>0.11173184357541903</v>
      </c>
      <c r="G359" s="219">
        <f t="shared" si="393"/>
        <v>2.6158216906048389E-3</v>
      </c>
      <c r="H359" s="204">
        <f>IF($S$16&gt;0,O359,0)</f>
        <v>2</v>
      </c>
      <c r="I359" s="199">
        <f>IF($S$16&gt;0,O359*R359,0)</f>
        <v>2</v>
      </c>
      <c r="J359" s="199">
        <f t="shared" ref="J359" si="419">H359*I359</f>
        <v>4</v>
      </c>
      <c r="K359" s="199">
        <f t="shared" ref="K359" si="420">J359*N359</f>
        <v>0</v>
      </c>
      <c r="L359" s="3">
        <v>5</v>
      </c>
      <c r="M359" s="206" t="s">
        <v>136</v>
      </c>
      <c r="N359" s="39">
        <v>0</v>
      </c>
      <c r="O359" s="83">
        <v>2</v>
      </c>
      <c r="P359" s="83" t="s">
        <v>75</v>
      </c>
      <c r="Q359" s="83" t="s">
        <v>75</v>
      </c>
      <c r="R359" s="55">
        <v>1</v>
      </c>
      <c r="W359" s="313">
        <f t="shared" si="396"/>
        <v>0.8</v>
      </c>
    </row>
    <row r="360" spans="1:23" ht="18" customHeight="1" x14ac:dyDescent="0.4">
      <c r="A360" s="185" t="s">
        <v>410</v>
      </c>
      <c r="B360" s="199">
        <f t="shared" ref="B360:B361" si="421">(J360-K360)/L360</f>
        <v>40</v>
      </c>
      <c r="C360" s="200"/>
      <c r="D360" s="201">
        <f t="shared" si="391"/>
        <v>40</v>
      </c>
      <c r="E360" s="200"/>
      <c r="F360" s="201">
        <f t="shared" si="392"/>
        <v>5.5865921787709514</v>
      </c>
      <c r="G360" s="202">
        <f t="shared" si="393"/>
        <v>0.13079108453024194</v>
      </c>
      <c r="H360" s="204">
        <f>IF($S$16&gt;0,O360,0)</f>
        <v>1</v>
      </c>
      <c r="I360" s="199">
        <f>IF($S$16&gt;0,O360*R360,0)</f>
        <v>1500</v>
      </c>
      <c r="J360" s="199">
        <f>H360*I360</f>
        <v>1500</v>
      </c>
      <c r="K360" s="199">
        <f t="shared" ref="K360:K361" si="422">J360*N360</f>
        <v>300</v>
      </c>
      <c r="L360" s="3">
        <v>30</v>
      </c>
      <c r="M360" s="206" t="s">
        <v>136</v>
      </c>
      <c r="N360" s="39">
        <v>0.2</v>
      </c>
      <c r="O360" s="204">
        <f>IF((SUM($AD$11:$AD$12)+SUM($AD$17))&gt;0,1,0)</f>
        <v>1</v>
      </c>
      <c r="P360" s="83" t="s">
        <v>75</v>
      </c>
      <c r="Q360" s="83" t="s">
        <v>75</v>
      </c>
      <c r="R360" s="55">
        <v>1500</v>
      </c>
      <c r="W360" s="313">
        <f t="shared" si="396"/>
        <v>40</v>
      </c>
    </row>
    <row r="361" spans="1:23" ht="18" customHeight="1" x14ac:dyDescent="0.4">
      <c r="A361" s="674" t="s">
        <v>712</v>
      </c>
      <c r="B361" s="19">
        <f t="shared" si="421"/>
        <v>0</v>
      </c>
      <c r="C361" s="9"/>
      <c r="D361" s="20">
        <f t="shared" ref="D361" si="423">IF($D$5=0,W361,B361/$J$14)</f>
        <v>0</v>
      </c>
      <c r="E361" s="9"/>
      <c r="F361" s="81">
        <f t="shared" ref="F361" si="424">IF($F$5=0,(B361/($H$6/1000)),B361/$M$416)</f>
        <v>0</v>
      </c>
      <c r="G361" s="71">
        <f t="shared" ref="G361" si="425">B361/$B$399</f>
        <v>0</v>
      </c>
      <c r="H361" s="29">
        <f>$M$6</f>
        <v>0</v>
      </c>
      <c r="I361" s="86">
        <v>87</v>
      </c>
      <c r="J361" s="19">
        <f t="shared" ref="J361" si="426">H361*I361</f>
        <v>0</v>
      </c>
      <c r="K361" s="19">
        <f t="shared" si="422"/>
        <v>0</v>
      </c>
      <c r="L361" s="3">
        <v>20</v>
      </c>
      <c r="M361" s="25" t="s">
        <v>136</v>
      </c>
      <c r="N361" s="39">
        <v>0</v>
      </c>
      <c r="O361" s="83">
        <v>1</v>
      </c>
      <c r="P361" s="83" t="s">
        <v>75</v>
      </c>
      <c r="Q361" s="83" t="s">
        <v>75</v>
      </c>
      <c r="R361" s="55">
        <v>0</v>
      </c>
      <c r="W361" s="312">
        <f t="shared" ref="W361" si="427">IF(beepasture&lt;1,B361,B361/$H$5)</f>
        <v>0</v>
      </c>
    </row>
    <row r="362" spans="1:23" ht="18" customHeight="1" x14ac:dyDescent="0.4">
      <c r="A362" s="27" t="s">
        <v>327</v>
      </c>
      <c r="B362" s="19">
        <f t="shared" si="414"/>
        <v>0</v>
      </c>
      <c r="C362" s="9"/>
      <c r="D362" s="20">
        <f t="shared" si="391"/>
        <v>0</v>
      </c>
      <c r="E362" s="9"/>
      <c r="F362" s="81">
        <f t="shared" si="392"/>
        <v>0</v>
      </c>
      <c r="G362" s="71">
        <f t="shared" si="393"/>
        <v>0</v>
      </c>
      <c r="H362" s="83">
        <v>0</v>
      </c>
      <c r="I362" s="86">
        <v>0</v>
      </c>
      <c r="J362" s="19">
        <f t="shared" si="394"/>
        <v>0</v>
      </c>
      <c r="K362" s="19">
        <f t="shared" si="395"/>
        <v>0</v>
      </c>
      <c r="L362" s="3">
        <v>1</v>
      </c>
      <c r="M362" s="25" t="s">
        <v>136</v>
      </c>
      <c r="N362" s="39">
        <v>0.2</v>
      </c>
      <c r="O362" s="83">
        <v>0</v>
      </c>
      <c r="P362" s="83" t="s">
        <v>75</v>
      </c>
      <c r="Q362" s="83" t="s">
        <v>75</v>
      </c>
      <c r="R362" s="55">
        <v>0</v>
      </c>
      <c r="W362" s="312">
        <f t="shared" si="396"/>
        <v>0</v>
      </c>
    </row>
    <row r="363" spans="1:23" ht="18" customHeight="1" x14ac:dyDescent="0.4">
      <c r="A363" s="158" t="s">
        <v>89</v>
      </c>
      <c r="B363" s="159">
        <f t="shared" si="414"/>
        <v>0</v>
      </c>
      <c r="C363" s="9"/>
      <c r="D363" s="20">
        <f t="shared" si="391"/>
        <v>0</v>
      </c>
      <c r="E363" s="9"/>
      <c r="F363" s="81">
        <f t="shared" si="392"/>
        <v>0</v>
      </c>
      <c r="G363" s="71">
        <f t="shared" si="393"/>
        <v>0</v>
      </c>
      <c r="H363" s="83">
        <v>0</v>
      </c>
      <c r="I363" s="19">
        <f>IF(SUM($H$3:$H$4)&gt;0,O363*R363,0)</f>
        <v>0</v>
      </c>
      <c r="J363" s="19">
        <f t="shared" si="394"/>
        <v>0</v>
      </c>
      <c r="K363" s="19">
        <f t="shared" si="395"/>
        <v>0</v>
      </c>
      <c r="L363" s="3">
        <v>30</v>
      </c>
      <c r="M363" s="25" t="s">
        <v>136</v>
      </c>
      <c r="N363" s="39">
        <v>0.05</v>
      </c>
      <c r="O363" s="83">
        <v>1</v>
      </c>
      <c r="P363" s="83" t="s">
        <v>75</v>
      </c>
      <c r="Q363" s="83" t="s">
        <v>75</v>
      </c>
      <c r="R363" s="55">
        <v>1000</v>
      </c>
      <c r="W363" s="312">
        <f t="shared" si="396"/>
        <v>0</v>
      </c>
    </row>
    <row r="364" spans="1:23" ht="18" customHeight="1" x14ac:dyDescent="0.4">
      <c r="A364" s="158" t="s">
        <v>328</v>
      </c>
      <c r="B364" s="159">
        <f t="shared" si="414"/>
        <v>0</v>
      </c>
      <c r="C364" s="9"/>
      <c r="D364" s="20">
        <f t="shared" si="391"/>
        <v>0</v>
      </c>
      <c r="E364" s="9"/>
      <c r="F364" s="81">
        <f t="shared" si="392"/>
        <v>0</v>
      </c>
      <c r="G364" s="71">
        <f t="shared" si="393"/>
        <v>0</v>
      </c>
      <c r="H364" s="83">
        <v>0</v>
      </c>
      <c r="I364" s="19">
        <f>IF(SUM($H$3:$H$4)&gt;0,O364*R364,0)</f>
        <v>0</v>
      </c>
      <c r="J364" s="19">
        <f t="shared" si="394"/>
        <v>0</v>
      </c>
      <c r="K364" s="19">
        <f t="shared" si="395"/>
        <v>0</v>
      </c>
      <c r="L364" s="3">
        <v>30</v>
      </c>
      <c r="M364" s="25" t="s">
        <v>136</v>
      </c>
      <c r="N364" s="39">
        <v>0.05</v>
      </c>
      <c r="O364" s="83">
        <v>1</v>
      </c>
      <c r="P364" s="83" t="s">
        <v>75</v>
      </c>
      <c r="Q364" s="83" t="s">
        <v>75</v>
      </c>
      <c r="R364" s="55">
        <v>5000</v>
      </c>
      <c r="W364" s="312">
        <f t="shared" si="396"/>
        <v>0</v>
      </c>
    </row>
    <row r="365" spans="1:23" ht="18" customHeight="1" x14ac:dyDescent="0.4">
      <c r="A365" s="185" t="s">
        <v>411</v>
      </c>
      <c r="B365" s="199">
        <f>((J365-K365)/L365)*$J$1</f>
        <v>0</v>
      </c>
      <c r="C365" s="200"/>
      <c r="D365" s="201">
        <f t="shared" si="391"/>
        <v>0</v>
      </c>
      <c r="E365" s="200"/>
      <c r="F365" s="201">
        <f t="shared" si="392"/>
        <v>0</v>
      </c>
      <c r="G365" s="202">
        <f t="shared" si="393"/>
        <v>0</v>
      </c>
      <c r="H365" s="204">
        <f t="shared" ref="H365:H368" si="428">IF((SUM($H$1:$H$4))&gt;0,O365,0)</f>
        <v>0</v>
      </c>
      <c r="I365" s="199">
        <f>IF((SUM($H$1:$H$4))&gt;0,O365*R365,0)</f>
        <v>0</v>
      </c>
      <c r="J365" s="199">
        <f t="shared" si="394"/>
        <v>0</v>
      </c>
      <c r="K365" s="199">
        <f t="shared" si="395"/>
        <v>0</v>
      </c>
      <c r="L365" s="3">
        <v>10</v>
      </c>
      <c r="M365" s="206" t="s">
        <v>136</v>
      </c>
      <c r="N365" s="39">
        <v>0.05</v>
      </c>
      <c r="O365" s="204">
        <f>IF($AD$9&gt;0,1,0)</f>
        <v>0</v>
      </c>
      <c r="P365" s="83" t="s">
        <v>75</v>
      </c>
      <c r="Q365" s="83" t="s">
        <v>75</v>
      </c>
      <c r="R365" s="55">
        <v>500</v>
      </c>
      <c r="W365" s="313">
        <f t="shared" si="396"/>
        <v>0</v>
      </c>
    </row>
    <row r="366" spans="1:23" ht="18" customHeight="1" x14ac:dyDescent="0.4">
      <c r="A366" s="185" t="s">
        <v>412</v>
      </c>
      <c r="B366" s="199">
        <f>((J366-K366)/L366)*$J$1</f>
        <v>0</v>
      </c>
      <c r="C366" s="200"/>
      <c r="D366" s="201">
        <f t="shared" si="391"/>
        <v>0</v>
      </c>
      <c r="E366" s="200"/>
      <c r="F366" s="201">
        <f t="shared" si="392"/>
        <v>0</v>
      </c>
      <c r="G366" s="202">
        <f t="shared" si="393"/>
        <v>0</v>
      </c>
      <c r="H366" s="204">
        <f t="shared" si="428"/>
        <v>0</v>
      </c>
      <c r="I366" s="199">
        <f>IF((SUM($H$1:$H$4))&gt;0,O366*R366,0)</f>
        <v>0</v>
      </c>
      <c r="J366" s="199">
        <f t="shared" ref="J366:J369" si="429">H366*I366</f>
        <v>0</v>
      </c>
      <c r="K366" s="199">
        <f t="shared" ref="K366:K369" si="430">J366*N366</f>
        <v>0</v>
      </c>
      <c r="L366" s="3">
        <v>10</v>
      </c>
      <c r="M366" s="206" t="s">
        <v>136</v>
      </c>
      <c r="N366" s="39">
        <v>0.05</v>
      </c>
      <c r="O366" s="204">
        <f>IF($AD$10&gt;0,1,0)</f>
        <v>0</v>
      </c>
      <c r="P366" s="83" t="s">
        <v>75</v>
      </c>
      <c r="Q366" s="83" t="s">
        <v>75</v>
      </c>
      <c r="R366" s="55">
        <v>1500</v>
      </c>
      <c r="W366" s="313">
        <f t="shared" si="396"/>
        <v>0</v>
      </c>
    </row>
    <row r="367" spans="1:23" ht="18" customHeight="1" x14ac:dyDescent="0.4">
      <c r="A367" s="185" t="s">
        <v>413</v>
      </c>
      <c r="B367" s="199">
        <f>((J367-K367)/L367)*$J$1</f>
        <v>0</v>
      </c>
      <c r="C367" s="200"/>
      <c r="D367" s="201">
        <f t="shared" si="391"/>
        <v>0</v>
      </c>
      <c r="E367" s="200"/>
      <c r="F367" s="201">
        <f t="shared" si="392"/>
        <v>0</v>
      </c>
      <c r="G367" s="202">
        <f t="shared" si="393"/>
        <v>0</v>
      </c>
      <c r="H367" s="204">
        <f t="shared" si="428"/>
        <v>0</v>
      </c>
      <c r="I367" s="199">
        <f>IF((SUM($H$1:$H$4))&gt;0,O367*R367,0)</f>
        <v>0</v>
      </c>
      <c r="J367" s="199">
        <f t="shared" ref="J367" si="431">H367*I367</f>
        <v>0</v>
      </c>
      <c r="K367" s="199">
        <f t="shared" ref="K367" si="432">J367*N367</f>
        <v>0</v>
      </c>
      <c r="L367" s="3">
        <v>30</v>
      </c>
      <c r="M367" s="206" t="s">
        <v>136</v>
      </c>
      <c r="N367" s="39">
        <v>0.05</v>
      </c>
      <c r="O367" s="204">
        <f>IF($AD$11&gt;0,1,0)</f>
        <v>0</v>
      </c>
      <c r="P367" s="83" t="s">
        <v>75</v>
      </c>
      <c r="Q367" s="83" t="s">
        <v>75</v>
      </c>
      <c r="R367" s="55">
        <v>5000</v>
      </c>
      <c r="W367" s="313">
        <f t="shared" si="396"/>
        <v>0</v>
      </c>
    </row>
    <row r="368" spans="1:23" ht="18" customHeight="1" x14ac:dyDescent="0.4">
      <c r="A368" s="185" t="s">
        <v>414</v>
      </c>
      <c r="B368" s="199">
        <f>((J368-K368)/L368)*$J$1</f>
        <v>1.5833333333333335</v>
      </c>
      <c r="C368" s="200"/>
      <c r="D368" s="201">
        <f t="shared" si="391"/>
        <v>1.5833333333333335</v>
      </c>
      <c r="E368" s="200"/>
      <c r="F368" s="201">
        <f t="shared" si="392"/>
        <v>0.22113594040968348</v>
      </c>
      <c r="G368" s="202">
        <f t="shared" si="393"/>
        <v>5.1771470959887439E-3</v>
      </c>
      <c r="H368" s="204">
        <f t="shared" si="428"/>
        <v>1</v>
      </c>
      <c r="I368" s="199">
        <f>IF((SUM($H$1:$H$4))&gt;0,O368*R368,0)</f>
        <v>5000</v>
      </c>
      <c r="J368" s="199">
        <f t="shared" si="429"/>
        <v>5000</v>
      </c>
      <c r="K368" s="199">
        <f t="shared" si="430"/>
        <v>250</v>
      </c>
      <c r="L368" s="3">
        <v>30</v>
      </c>
      <c r="M368" s="206" t="s">
        <v>136</v>
      </c>
      <c r="N368" s="39">
        <v>0.05</v>
      </c>
      <c r="O368" s="204">
        <f>IF($AD$12&gt;0,1,0)</f>
        <v>1</v>
      </c>
      <c r="P368" s="83" t="s">
        <v>75</v>
      </c>
      <c r="Q368" s="83" t="s">
        <v>75</v>
      </c>
      <c r="R368" s="55">
        <v>5000</v>
      </c>
      <c r="W368" s="313">
        <f t="shared" si="396"/>
        <v>1.5833333333333335</v>
      </c>
    </row>
    <row r="369" spans="1:28" ht="18" customHeight="1" x14ac:dyDescent="0.4">
      <c r="A369" s="185" t="s">
        <v>329</v>
      </c>
      <c r="B369" s="199">
        <f t="shared" ref="B369" si="433">(J369-K369)/L369</f>
        <v>11</v>
      </c>
      <c r="C369" s="200"/>
      <c r="D369" s="201">
        <f t="shared" si="391"/>
        <v>11</v>
      </c>
      <c r="E369" s="200"/>
      <c r="F369" s="201">
        <f t="shared" si="392"/>
        <v>1.5363128491620115</v>
      </c>
      <c r="G369" s="219">
        <f t="shared" si="393"/>
        <v>3.5967548245816536E-2</v>
      </c>
      <c r="H369" s="204">
        <f>IF($S$15&gt;0,O369,0)</f>
        <v>1</v>
      </c>
      <c r="I369" s="199">
        <f>IF($S$15&gt;0,O369*R369,0)</f>
        <v>55</v>
      </c>
      <c r="J369" s="199">
        <f t="shared" si="429"/>
        <v>55</v>
      </c>
      <c r="K369" s="199">
        <f t="shared" si="430"/>
        <v>0</v>
      </c>
      <c r="L369" s="3">
        <v>5</v>
      </c>
      <c r="M369" s="206" t="s">
        <v>136</v>
      </c>
      <c r="N369" s="39">
        <v>0</v>
      </c>
      <c r="O369" s="83">
        <v>1</v>
      </c>
      <c r="P369" s="83" t="s">
        <v>75</v>
      </c>
      <c r="Q369" s="83" t="s">
        <v>75</v>
      </c>
      <c r="R369" s="55">
        <f>40+15</f>
        <v>55</v>
      </c>
      <c r="W369" s="313">
        <f t="shared" si="396"/>
        <v>11</v>
      </c>
    </row>
    <row r="370" spans="1:28" ht="18" customHeight="1" x14ac:dyDescent="0.4">
      <c r="A370" s="158" t="s">
        <v>329</v>
      </c>
      <c r="B370" s="159">
        <f t="shared" si="414"/>
        <v>0</v>
      </c>
      <c r="C370" s="9"/>
      <c r="D370" s="20">
        <f t="shared" si="391"/>
        <v>0</v>
      </c>
      <c r="E370" s="9"/>
      <c r="F370" s="81">
        <f t="shared" si="392"/>
        <v>0</v>
      </c>
      <c r="G370" s="71">
        <f t="shared" si="393"/>
        <v>0</v>
      </c>
      <c r="H370" s="29">
        <f>IF(SUM($H$3:$H$4)&gt;0,O370,0)</f>
        <v>0</v>
      </c>
      <c r="I370" s="19">
        <f>IF(SUM($H$3:$H$4)&gt;0,O370*R370,0)</f>
        <v>0</v>
      </c>
      <c r="J370" s="19">
        <f t="shared" si="394"/>
        <v>0</v>
      </c>
      <c r="K370" s="19">
        <f t="shared" si="395"/>
        <v>0</v>
      </c>
      <c r="L370" s="3">
        <v>5</v>
      </c>
      <c r="M370" s="25" t="s">
        <v>136</v>
      </c>
      <c r="N370" s="39">
        <v>0</v>
      </c>
      <c r="O370" s="83">
        <v>1</v>
      </c>
      <c r="P370" s="83" t="s">
        <v>75</v>
      </c>
      <c r="Q370" s="83" t="s">
        <v>75</v>
      </c>
      <c r="R370" s="55">
        <f>40+15</f>
        <v>55</v>
      </c>
      <c r="W370" s="312">
        <f t="shared" si="396"/>
        <v>0</v>
      </c>
    </row>
    <row r="371" spans="1:28" ht="18" customHeight="1" x14ac:dyDescent="0.4">
      <c r="A371" s="185" t="s">
        <v>479</v>
      </c>
      <c r="B371" s="199">
        <f t="shared" si="414"/>
        <v>5</v>
      </c>
      <c r="C371" s="200"/>
      <c r="D371" s="201">
        <f t="shared" si="391"/>
        <v>5</v>
      </c>
      <c r="E371" s="200"/>
      <c r="F371" s="201">
        <f t="shared" si="392"/>
        <v>0.69832402234636892</v>
      </c>
      <c r="G371" s="219">
        <f t="shared" si="393"/>
        <v>1.6348885566280242E-2</v>
      </c>
      <c r="H371" s="204">
        <f>IF((SUM($H$1:$H$4))&gt;0,O371,0)</f>
        <v>1</v>
      </c>
      <c r="I371" s="199">
        <f>IF((SUM($H$1:$H$4))&gt;0,O371*R371,0)</f>
        <v>25</v>
      </c>
      <c r="J371" s="199">
        <f t="shared" si="394"/>
        <v>25</v>
      </c>
      <c r="K371" s="199">
        <f t="shared" si="395"/>
        <v>0</v>
      </c>
      <c r="L371" s="3">
        <v>5</v>
      </c>
      <c r="M371" s="206" t="s">
        <v>136</v>
      </c>
      <c r="N371" s="39">
        <v>0</v>
      </c>
      <c r="O371" s="83">
        <v>1</v>
      </c>
      <c r="P371" s="83" t="s">
        <v>75</v>
      </c>
      <c r="Q371" s="83" t="s">
        <v>75</v>
      </c>
      <c r="R371" s="55">
        <v>25</v>
      </c>
      <c r="W371" s="313">
        <f t="shared" si="396"/>
        <v>5</v>
      </c>
    </row>
    <row r="372" spans="1:28" ht="18" customHeight="1" x14ac:dyDescent="0.4">
      <c r="A372" s="27" t="s">
        <v>330</v>
      </c>
      <c r="B372" s="19">
        <f t="shared" si="414"/>
        <v>0</v>
      </c>
      <c r="C372" s="9"/>
      <c r="D372" s="20">
        <f t="shared" si="391"/>
        <v>0</v>
      </c>
      <c r="E372" s="9"/>
      <c r="F372" s="81">
        <f t="shared" si="392"/>
        <v>0</v>
      </c>
      <c r="G372" s="71">
        <f t="shared" si="393"/>
        <v>0</v>
      </c>
      <c r="H372" s="29">
        <f>$K$6*O372</f>
        <v>0</v>
      </c>
      <c r="I372" s="19">
        <f t="shared" ref="I372:I374" si="434">IF($K$6&gt;0,O372*R372,0)</f>
        <v>0</v>
      </c>
      <c r="J372" s="19">
        <f t="shared" si="394"/>
        <v>0</v>
      </c>
      <c r="K372" s="19">
        <f t="shared" si="395"/>
        <v>0</v>
      </c>
      <c r="L372" s="3">
        <v>7</v>
      </c>
      <c r="M372" s="25" t="s">
        <v>136</v>
      </c>
      <c r="N372" s="39">
        <v>0</v>
      </c>
      <c r="O372" s="83">
        <v>1</v>
      </c>
      <c r="P372" s="83" t="s">
        <v>75</v>
      </c>
      <c r="Q372" s="83" t="s">
        <v>75</v>
      </c>
      <c r="R372" s="55">
        <f>(400*1.09)</f>
        <v>436.00000000000006</v>
      </c>
      <c r="W372" s="312">
        <f t="shared" si="396"/>
        <v>0</v>
      </c>
    </row>
    <row r="373" spans="1:28" ht="18" customHeight="1" x14ac:dyDescent="0.4">
      <c r="A373" s="27" t="s">
        <v>331</v>
      </c>
      <c r="B373" s="19">
        <f t="shared" si="414"/>
        <v>0</v>
      </c>
      <c r="C373" s="9"/>
      <c r="D373" s="20">
        <f t="shared" si="391"/>
        <v>0</v>
      </c>
      <c r="E373" s="9"/>
      <c r="F373" s="81">
        <f t="shared" si="392"/>
        <v>0</v>
      </c>
      <c r="G373" s="71">
        <f t="shared" si="393"/>
        <v>0</v>
      </c>
      <c r="H373" s="29">
        <f t="shared" ref="H373:H375" si="435">$K$6*O373</f>
        <v>0</v>
      </c>
      <c r="I373" s="19">
        <f t="shared" si="434"/>
        <v>0</v>
      </c>
      <c r="J373" s="19">
        <f t="shared" si="394"/>
        <v>0</v>
      </c>
      <c r="K373" s="19">
        <f t="shared" si="395"/>
        <v>0</v>
      </c>
      <c r="L373" s="3">
        <v>2.5</v>
      </c>
      <c r="M373" s="25" t="s">
        <v>136</v>
      </c>
      <c r="N373" s="39">
        <v>0.4</v>
      </c>
      <c r="O373" s="83">
        <v>7</v>
      </c>
      <c r="P373" s="83">
        <v>6</v>
      </c>
      <c r="Q373" s="83">
        <v>8</v>
      </c>
      <c r="R373" s="6">
        <f>50.4/7</f>
        <v>7.2</v>
      </c>
      <c r="W373" s="312">
        <f t="shared" si="396"/>
        <v>0</v>
      </c>
    </row>
    <row r="374" spans="1:28" ht="18" customHeight="1" x14ac:dyDescent="0.4">
      <c r="A374" s="27" t="s">
        <v>332</v>
      </c>
      <c r="B374" s="19">
        <f t="shared" si="414"/>
        <v>0</v>
      </c>
      <c r="C374" s="9"/>
      <c r="D374" s="20">
        <f t="shared" si="391"/>
        <v>0</v>
      </c>
      <c r="E374" s="9"/>
      <c r="F374" s="81">
        <f t="shared" si="392"/>
        <v>0</v>
      </c>
      <c r="G374" s="71">
        <f t="shared" si="393"/>
        <v>0</v>
      </c>
      <c r="H374" s="29">
        <f t="shared" si="435"/>
        <v>0</v>
      </c>
      <c r="I374" s="19">
        <f t="shared" si="434"/>
        <v>0</v>
      </c>
      <c r="J374" s="19">
        <f t="shared" si="394"/>
        <v>0</v>
      </c>
      <c r="K374" s="19">
        <f t="shared" si="395"/>
        <v>0</v>
      </c>
      <c r="L374" s="3">
        <v>2.5</v>
      </c>
      <c r="M374" s="25" t="s">
        <v>136</v>
      </c>
      <c r="N374" s="39">
        <v>0</v>
      </c>
      <c r="O374" s="83">
        <v>1</v>
      </c>
      <c r="P374" s="83" t="s">
        <v>75</v>
      </c>
      <c r="Q374" s="83" t="s">
        <v>75</v>
      </c>
      <c r="R374" s="55">
        <v>70</v>
      </c>
      <c r="W374" s="312">
        <f t="shared" si="396"/>
        <v>0</v>
      </c>
    </row>
    <row r="375" spans="1:28" ht="18" customHeight="1" x14ac:dyDescent="0.4">
      <c r="A375" s="27" t="s">
        <v>333</v>
      </c>
      <c r="B375" s="19">
        <f t="shared" si="414"/>
        <v>0</v>
      </c>
      <c r="C375" s="9"/>
      <c r="D375" s="20">
        <f t="shared" si="391"/>
        <v>0</v>
      </c>
      <c r="E375" s="9"/>
      <c r="F375" s="81">
        <f t="shared" si="392"/>
        <v>0</v>
      </c>
      <c r="G375" s="71">
        <f t="shared" si="393"/>
        <v>0</v>
      </c>
      <c r="H375" s="29">
        <f t="shared" si="435"/>
        <v>0</v>
      </c>
      <c r="I375" s="19">
        <f>IF($K$6&gt;0,O375*R375,0)</f>
        <v>0</v>
      </c>
      <c r="J375" s="19">
        <f t="shared" si="394"/>
        <v>0</v>
      </c>
      <c r="K375" s="19">
        <f t="shared" si="395"/>
        <v>0</v>
      </c>
      <c r="L375" s="3">
        <v>2.5</v>
      </c>
      <c r="M375" s="25" t="s">
        <v>136</v>
      </c>
      <c r="N375" s="39">
        <v>0</v>
      </c>
      <c r="O375" s="83">
        <v>1</v>
      </c>
      <c r="P375" s="83" t="s">
        <v>75</v>
      </c>
      <c r="Q375" s="83" t="s">
        <v>75</v>
      </c>
      <c r="R375" s="55">
        <v>264</v>
      </c>
      <c r="W375" s="312">
        <f t="shared" si="396"/>
        <v>0</v>
      </c>
    </row>
    <row r="376" spans="1:28" ht="18" customHeight="1" x14ac:dyDescent="0.4">
      <c r="A376" s="40" t="s">
        <v>107</v>
      </c>
      <c r="B376" s="19"/>
      <c r="C376" s="9"/>
      <c r="D376" s="21"/>
      <c r="E376" s="9"/>
      <c r="F376" s="21"/>
      <c r="G376" s="73"/>
      <c r="H376" s="13" t="s">
        <v>139</v>
      </c>
      <c r="I376" s="34" t="s">
        <v>192</v>
      </c>
      <c r="J376" s="34" t="s">
        <v>193</v>
      </c>
      <c r="K376" s="34" t="s">
        <v>316</v>
      </c>
      <c r="L376" s="34" t="s">
        <v>78</v>
      </c>
      <c r="M376" s="34" t="s">
        <v>194</v>
      </c>
      <c r="N376" s="34" t="s">
        <v>317</v>
      </c>
      <c r="O376" s="13" t="s">
        <v>349</v>
      </c>
      <c r="P376" s="13" t="s">
        <v>80</v>
      </c>
      <c r="Q376" s="13" t="s">
        <v>81</v>
      </c>
      <c r="R376" s="13" t="s">
        <v>192</v>
      </c>
      <c r="W376" s="312"/>
    </row>
    <row r="377" spans="1:28" ht="18" customHeight="1" x14ac:dyDescent="0.4">
      <c r="A377" s="2" t="s">
        <v>437</v>
      </c>
      <c r="B377" s="19">
        <f>(J377-K377)/L377</f>
        <v>0</v>
      </c>
      <c r="C377" s="9"/>
      <c r="D377" s="20">
        <f t="shared" ref="D377:D379" si="436">IF($D$5=0,W377,B377/$J$14)</f>
        <v>0</v>
      </c>
      <c r="E377" s="9"/>
      <c r="F377" s="81">
        <f>IF($F$5=0,(B377/($H$6/1000)),B377/$M$416)</f>
        <v>0</v>
      </c>
      <c r="G377" s="71">
        <f>B377/$B$399</f>
        <v>0</v>
      </c>
      <c r="H377" s="83">
        <v>0</v>
      </c>
      <c r="I377" s="86">
        <v>0</v>
      </c>
      <c r="J377" s="19">
        <f>H377*I377</f>
        <v>0</v>
      </c>
      <c r="K377" s="19">
        <f>J377*N377</f>
        <v>0</v>
      </c>
      <c r="L377" s="3">
        <v>1</v>
      </c>
      <c r="M377" s="25" t="s">
        <v>136</v>
      </c>
      <c r="N377" s="39">
        <v>0.2</v>
      </c>
      <c r="O377" s="83">
        <v>0</v>
      </c>
      <c r="P377" s="83" t="s">
        <v>75</v>
      </c>
      <c r="Q377" s="83" t="s">
        <v>75</v>
      </c>
      <c r="R377" s="55">
        <v>0</v>
      </c>
      <c r="W377" s="312">
        <f>IF(beepasture&lt;1,B377,B377/$H$5)</f>
        <v>0</v>
      </c>
      <c r="AA377" s="145"/>
      <c r="AB377" s="145"/>
    </row>
    <row r="378" spans="1:28" ht="18" customHeight="1" x14ac:dyDescent="0.4">
      <c r="A378" s="185" t="s">
        <v>177</v>
      </c>
      <c r="B378" s="199">
        <f>((J378-K378)/L378)*$J$1</f>
        <v>2</v>
      </c>
      <c r="C378" s="200"/>
      <c r="D378" s="201">
        <f t="shared" si="436"/>
        <v>2</v>
      </c>
      <c r="E378" s="200"/>
      <c r="F378" s="201">
        <f>IF($F$5=0,(B378/($H$6/1000)),B378/$M$416)</f>
        <v>0.27932960893854752</v>
      </c>
      <c r="G378" s="219">
        <f>B378/$B$399</f>
        <v>6.5395542265120976E-3</v>
      </c>
      <c r="H378" s="204">
        <f>IF((SUM($H$1:$H$4))&gt;0,O378,0)</f>
        <v>1</v>
      </c>
      <c r="I378" s="199">
        <f>IF((SUM($H$1:$H$4))&gt;0,O378*R378,0)</f>
        <v>1000</v>
      </c>
      <c r="J378" s="199">
        <f>H378*I378</f>
        <v>1000</v>
      </c>
      <c r="K378" s="199">
        <f>J378*N378</f>
        <v>0</v>
      </c>
      <c r="L378" s="3">
        <v>5</v>
      </c>
      <c r="M378" s="206" t="s">
        <v>136</v>
      </c>
      <c r="N378" s="39">
        <v>0</v>
      </c>
      <c r="O378" s="204">
        <v>1</v>
      </c>
      <c r="P378" s="83" t="s">
        <v>75</v>
      </c>
      <c r="Q378" s="83" t="s">
        <v>75</v>
      </c>
      <c r="R378" s="55">
        <v>1000</v>
      </c>
      <c r="W378" s="313">
        <f>IF(beepasture&lt;1,B378,B378/$H$5)</f>
        <v>2</v>
      </c>
      <c r="Z378" s="11"/>
      <c r="AB378" s="145"/>
    </row>
    <row r="379" spans="1:28" ht="18" customHeight="1" x14ac:dyDescent="0.4">
      <c r="A379" s="2" t="s">
        <v>170</v>
      </c>
      <c r="B379" s="19">
        <f>(J379-K379)/L379</f>
        <v>0</v>
      </c>
      <c r="C379" s="9"/>
      <c r="D379" s="20">
        <f t="shared" si="436"/>
        <v>0</v>
      </c>
      <c r="E379" s="9"/>
      <c r="F379" s="81">
        <f>IF($F$5=0,(B379/($H$6/1000)),B379/$M$416)</f>
        <v>0</v>
      </c>
      <c r="G379" s="71">
        <f>B379/$B$399</f>
        <v>0</v>
      </c>
      <c r="H379" s="83">
        <v>0</v>
      </c>
      <c r="I379" s="86">
        <v>0</v>
      </c>
      <c r="J379" s="19">
        <f>H379*I379</f>
        <v>0</v>
      </c>
      <c r="K379" s="19">
        <f>J379*N379</f>
        <v>0</v>
      </c>
      <c r="L379" s="3">
        <v>1</v>
      </c>
      <c r="M379" s="25" t="s">
        <v>136</v>
      </c>
      <c r="N379" s="39">
        <v>0.2</v>
      </c>
      <c r="O379" s="83">
        <v>0</v>
      </c>
      <c r="P379" s="83" t="s">
        <v>75</v>
      </c>
      <c r="Q379" s="83" t="s">
        <v>75</v>
      </c>
      <c r="R379" s="55">
        <v>0</v>
      </c>
      <c r="W379" s="312">
        <f>IF(beepasture&lt;1,B379,B379/$H$5)</f>
        <v>0</v>
      </c>
      <c r="Z379" s="21">
        <f>SUM(B335:B379)</f>
        <v>156.60488888888884</v>
      </c>
      <c r="AA379" s="21">
        <f>SUM(D335:D379)</f>
        <v>156.60488888888884</v>
      </c>
      <c r="AB379" s="74" t="s">
        <v>201</v>
      </c>
    </row>
    <row r="380" spans="1:28" ht="18" customHeight="1" x14ac:dyDescent="0.4">
      <c r="A380" s="40" t="s">
        <v>108</v>
      </c>
      <c r="B380" s="19"/>
      <c r="C380" s="9"/>
      <c r="D380" s="21"/>
      <c r="E380" s="9"/>
      <c r="F380" s="21"/>
      <c r="G380" s="73"/>
      <c r="H380" s="13" t="s">
        <v>139</v>
      </c>
      <c r="I380" s="34" t="s">
        <v>192</v>
      </c>
      <c r="J380" s="34" t="s">
        <v>193</v>
      </c>
      <c r="K380" s="34" t="s">
        <v>316</v>
      </c>
      <c r="L380" s="34" t="s">
        <v>78</v>
      </c>
      <c r="M380" s="34" t="s">
        <v>194</v>
      </c>
      <c r="N380" s="34" t="s">
        <v>317</v>
      </c>
      <c r="O380" s="13" t="s">
        <v>349</v>
      </c>
      <c r="P380" s="13" t="s">
        <v>80</v>
      </c>
      <c r="Q380" s="13" t="s">
        <v>81</v>
      </c>
      <c r="R380" s="13" t="s">
        <v>192</v>
      </c>
      <c r="W380" s="312"/>
      <c r="Z380" s="11"/>
      <c r="AB380" s="145"/>
    </row>
    <row r="381" spans="1:28" ht="18" customHeight="1" x14ac:dyDescent="0.4">
      <c r="A381" s="212" t="s">
        <v>90</v>
      </c>
      <c r="B381" s="199">
        <f>((J381-K381)/L381)*$J$1</f>
        <v>0</v>
      </c>
      <c r="C381" s="200"/>
      <c r="D381" s="201">
        <f t="shared" ref="D381:D396" si="437">IF($D$5=0,W381,B381/$J$14)</f>
        <v>0</v>
      </c>
      <c r="E381" s="200"/>
      <c r="F381" s="201">
        <f t="shared" ref="F381:F387" si="438">IF($F$5=0,(B381/($H$6/1000)),B381/$M$416)</f>
        <v>0</v>
      </c>
      <c r="G381" s="202">
        <f>B381/$B$399</f>
        <v>0</v>
      </c>
      <c r="H381" s="204">
        <f>IF((SUM($H$3:$H$4)+$S$10)&gt;0,O381,0)</f>
        <v>0</v>
      </c>
      <c r="I381" s="199">
        <f>IF((SUM($H$3:$H$4)+$S$10)&gt;0,O381*R381,0)</f>
        <v>0</v>
      </c>
      <c r="J381" s="199">
        <f>H381*I381</f>
        <v>0</v>
      </c>
      <c r="K381" s="199">
        <f>J381*N381</f>
        <v>0</v>
      </c>
      <c r="L381" s="3">
        <v>10</v>
      </c>
      <c r="M381" s="206" t="s">
        <v>136</v>
      </c>
      <c r="N381" s="39">
        <v>0.2</v>
      </c>
      <c r="O381" s="204">
        <v>0</v>
      </c>
      <c r="P381" s="83" t="s">
        <v>75</v>
      </c>
      <c r="Q381" s="83" t="s">
        <v>75</v>
      </c>
      <c r="R381" s="55">
        <v>500</v>
      </c>
      <c r="W381" s="313">
        <f t="shared" ref="W381:W387" si="439">IF(beepasture&lt;1,B381,B381/$H$5)</f>
        <v>0</v>
      </c>
      <c r="Z381" s="11"/>
      <c r="AB381" s="145"/>
    </row>
    <row r="382" spans="1:28" ht="18" customHeight="1" x14ac:dyDescent="0.4">
      <c r="A382" s="212" t="s">
        <v>334</v>
      </c>
      <c r="B382" s="199">
        <f>((J382-K382)/L382)*$J$1</f>
        <v>20</v>
      </c>
      <c r="C382" s="200"/>
      <c r="D382" s="201">
        <f t="shared" si="437"/>
        <v>20</v>
      </c>
      <c r="E382" s="200"/>
      <c r="F382" s="201">
        <f t="shared" si="438"/>
        <v>2.7932960893854757</v>
      </c>
      <c r="G382" s="202">
        <f t="shared" ref="G382:G389" si="440">B382/$B$399</f>
        <v>6.5395542265120968E-2</v>
      </c>
      <c r="H382" s="204">
        <f>IF((SUM($H$1:$H$4))&gt;0,O382,0)</f>
        <v>1</v>
      </c>
      <c r="I382" s="199">
        <f>IF((SUM($H$1:$H$4))&gt;0,O382*R382,0)</f>
        <v>50000</v>
      </c>
      <c r="J382" s="199">
        <f>H382*I382</f>
        <v>50000</v>
      </c>
      <c r="K382" s="199">
        <f>J382*N382</f>
        <v>10000</v>
      </c>
      <c r="L382" s="3">
        <v>20</v>
      </c>
      <c r="M382" s="206" t="s">
        <v>136</v>
      </c>
      <c r="N382" s="39">
        <v>0.2</v>
      </c>
      <c r="O382" s="204">
        <f>IF((SUM($AD$11:$AD$12)+SUM($AD$17))&gt;0,1,0)</f>
        <v>1</v>
      </c>
      <c r="P382" s="83" t="s">
        <v>75</v>
      </c>
      <c r="Q382" s="83" t="s">
        <v>75</v>
      </c>
      <c r="R382" s="55">
        <v>50000</v>
      </c>
      <c r="W382" s="313">
        <f t="shared" si="439"/>
        <v>20</v>
      </c>
      <c r="Z382" s="11"/>
      <c r="AB382" s="145"/>
    </row>
    <row r="383" spans="1:28" ht="17.25" customHeight="1" x14ac:dyDescent="0.4">
      <c r="A383" s="166" t="s">
        <v>335</v>
      </c>
      <c r="B383" s="159">
        <f>((J383-K383)/L383)</f>
        <v>0</v>
      </c>
      <c r="C383" s="9"/>
      <c r="D383" s="20">
        <f t="shared" si="437"/>
        <v>0</v>
      </c>
      <c r="E383" s="9"/>
      <c r="F383" s="81">
        <f t="shared" si="438"/>
        <v>0</v>
      </c>
      <c r="G383" s="71">
        <f t="shared" si="440"/>
        <v>0</v>
      </c>
      <c r="H383" s="29">
        <f>IF(SUM($H$3:$H$4)&gt;0,O383,0)</f>
        <v>0</v>
      </c>
      <c r="I383" s="19">
        <f>IF(SUM($H$3:$H$4)&gt;0,O383*R383,0)</f>
        <v>0</v>
      </c>
      <c r="J383" s="19">
        <f>H383*I383</f>
        <v>0</v>
      </c>
      <c r="K383" s="19">
        <f>J383*N383</f>
        <v>0</v>
      </c>
      <c r="L383" s="3">
        <v>10</v>
      </c>
      <c r="M383" s="25" t="s">
        <v>136</v>
      </c>
      <c r="N383" s="39">
        <v>0.2</v>
      </c>
      <c r="O383" s="83">
        <v>1</v>
      </c>
      <c r="P383" s="83" t="s">
        <v>75</v>
      </c>
      <c r="Q383" s="83" t="s">
        <v>75</v>
      </c>
      <c r="R383" s="55">
        <v>30000</v>
      </c>
      <c r="W383" s="312">
        <f t="shared" si="439"/>
        <v>0</v>
      </c>
      <c r="Z383" s="11"/>
      <c r="AB383" s="145"/>
    </row>
    <row r="384" spans="1:28" ht="18" customHeight="1" x14ac:dyDescent="0.4">
      <c r="A384" s="40" t="s">
        <v>70</v>
      </c>
      <c r="B384" s="19">
        <f>(J384-K384)/L384</f>
        <v>0</v>
      </c>
      <c r="C384" s="9"/>
      <c r="D384" s="20">
        <f t="shared" si="437"/>
        <v>0</v>
      </c>
      <c r="E384" s="9"/>
      <c r="F384" s="81">
        <f t="shared" si="438"/>
        <v>0</v>
      </c>
      <c r="G384" s="71">
        <f t="shared" si="440"/>
        <v>0</v>
      </c>
      <c r="H384" s="83">
        <v>0</v>
      </c>
      <c r="I384" s="86">
        <v>0</v>
      </c>
      <c r="J384" s="19">
        <f>H384*I384</f>
        <v>0</v>
      </c>
      <c r="K384" s="19">
        <f>J384*N384</f>
        <v>0</v>
      </c>
      <c r="L384" s="3">
        <v>1</v>
      </c>
      <c r="M384" s="25" t="s">
        <v>136</v>
      </c>
      <c r="N384" s="39">
        <v>0.2</v>
      </c>
      <c r="O384" s="83">
        <v>0</v>
      </c>
      <c r="P384" s="83" t="s">
        <v>75</v>
      </c>
      <c r="Q384" s="83" t="s">
        <v>75</v>
      </c>
      <c r="R384" s="55">
        <v>0</v>
      </c>
      <c r="W384" s="312">
        <f t="shared" si="439"/>
        <v>0</v>
      </c>
      <c r="Z384" s="11"/>
      <c r="AB384" s="145"/>
    </row>
    <row r="385" spans="1:29" ht="18" customHeight="1" x14ac:dyDescent="0.4">
      <c r="A385" s="210" t="s">
        <v>197</v>
      </c>
      <c r="B385" s="159">
        <f t="shared" ref="B385" si="441">(J385-K385)/L385</f>
        <v>0</v>
      </c>
      <c r="C385" s="9"/>
      <c r="D385" s="20">
        <f t="shared" si="437"/>
        <v>0</v>
      </c>
      <c r="E385" s="9"/>
      <c r="F385" s="81">
        <f t="shared" si="438"/>
        <v>0</v>
      </c>
      <c r="G385" s="71">
        <f t="shared" si="440"/>
        <v>0</v>
      </c>
      <c r="H385" s="29">
        <f>IF(SUM($H$3:$H$4)&gt;0,O385,0)</f>
        <v>0</v>
      </c>
      <c r="I385" s="19">
        <f>IF(SUM($H$3:$H$4)&gt;0,O385*R385,0)</f>
        <v>0</v>
      </c>
      <c r="J385" s="19">
        <f t="shared" ref="J385" si="442">H385*I385</f>
        <v>0</v>
      </c>
      <c r="K385" s="19">
        <f t="shared" ref="K385" si="443">J385*N385</f>
        <v>0</v>
      </c>
      <c r="L385" s="3">
        <v>15</v>
      </c>
      <c r="M385" s="25" t="s">
        <v>136</v>
      </c>
      <c r="N385" s="39">
        <v>0.1</v>
      </c>
      <c r="O385" s="83">
        <v>1</v>
      </c>
      <c r="P385" s="83" t="s">
        <v>75</v>
      </c>
      <c r="Q385" s="83" t="s">
        <v>75</v>
      </c>
      <c r="R385" s="55">
        <v>25000</v>
      </c>
      <c r="W385" s="312">
        <f t="shared" si="439"/>
        <v>0</v>
      </c>
      <c r="Z385" s="11"/>
      <c r="AB385" s="145"/>
    </row>
    <row r="386" spans="1:29" ht="18" customHeight="1" x14ac:dyDescent="0.4">
      <c r="A386" s="2" t="s">
        <v>170</v>
      </c>
      <c r="B386" s="19">
        <f>(J386-K386)/L386</f>
        <v>0</v>
      </c>
      <c r="C386" s="9"/>
      <c r="D386" s="20">
        <f t="shared" si="437"/>
        <v>0</v>
      </c>
      <c r="E386" s="9"/>
      <c r="F386" s="81">
        <f t="shared" si="438"/>
        <v>0</v>
      </c>
      <c r="G386" s="71">
        <f t="shared" si="440"/>
        <v>0</v>
      </c>
      <c r="H386" s="83">
        <v>0</v>
      </c>
      <c r="I386" s="86">
        <v>0</v>
      </c>
      <c r="J386" s="19">
        <f>H386*I386</f>
        <v>0</v>
      </c>
      <c r="K386" s="19">
        <f>J386*N386</f>
        <v>0</v>
      </c>
      <c r="L386" s="3">
        <v>1</v>
      </c>
      <c r="M386" s="25" t="s">
        <v>136</v>
      </c>
      <c r="N386" s="39">
        <v>0.2</v>
      </c>
      <c r="O386" s="83">
        <v>0</v>
      </c>
      <c r="P386" s="83" t="s">
        <v>75</v>
      </c>
      <c r="Q386" s="83" t="s">
        <v>75</v>
      </c>
      <c r="R386" s="55">
        <v>0</v>
      </c>
      <c r="W386" s="312">
        <f t="shared" si="439"/>
        <v>0</v>
      </c>
      <c r="Z386" s="21">
        <f>SUM(B380:B386)</f>
        <v>20</v>
      </c>
      <c r="AA386" s="21">
        <f>SUM(D380:D386)</f>
        <v>20</v>
      </c>
      <c r="AB386" s="74" t="s">
        <v>336</v>
      </c>
    </row>
    <row r="387" spans="1:29" ht="18" customHeight="1" x14ac:dyDescent="0.4">
      <c r="A387" s="207" t="s">
        <v>109</v>
      </c>
      <c r="B387" s="199">
        <f>H387*I387*K387</f>
        <v>82.185491276400342</v>
      </c>
      <c r="C387" s="200"/>
      <c r="D387" s="678">
        <f t="shared" si="437"/>
        <v>82.185491276400342</v>
      </c>
      <c r="E387" s="200"/>
      <c r="F387" s="201">
        <f t="shared" si="438"/>
        <v>11.478420569329659</v>
      </c>
      <c r="G387" s="202">
        <f t="shared" si="440"/>
        <v>0.2687282384172785</v>
      </c>
      <c r="H387" s="208">
        <f>$H$5</f>
        <v>0.16437098255280069</v>
      </c>
      <c r="I387" s="629">
        <f>'KEY DATA'!J46</f>
        <v>10000</v>
      </c>
      <c r="J387" s="206" t="s">
        <v>136</v>
      </c>
      <c r="K387" s="41">
        <v>0.05</v>
      </c>
      <c r="L387" s="209"/>
      <c r="M387" s="209"/>
      <c r="N387" s="209"/>
      <c r="O387" s="209"/>
      <c r="P387" s="13" t="s">
        <v>92</v>
      </c>
      <c r="Q387" s="13" t="s">
        <v>92</v>
      </c>
      <c r="W387" s="313">
        <f t="shared" si="439"/>
        <v>82.185491276400342</v>
      </c>
      <c r="Z387" s="21">
        <f>B387</f>
        <v>82.185491276400342</v>
      </c>
      <c r="AA387" s="21">
        <f>D387</f>
        <v>82.185491276400342</v>
      </c>
      <c r="AB387" s="74" t="s">
        <v>337</v>
      </c>
    </row>
    <row r="388" spans="1:29" ht="18" customHeight="1" x14ac:dyDescent="0.4">
      <c r="A388" s="37"/>
      <c r="B388" s="19"/>
      <c r="C388" s="9"/>
      <c r="D388" s="20"/>
      <c r="E388" s="9"/>
      <c r="F388" s="21"/>
      <c r="G388" s="71"/>
      <c r="H388" s="13" t="s">
        <v>142</v>
      </c>
      <c r="I388" s="13" t="s">
        <v>143</v>
      </c>
      <c r="J388" s="34" t="s">
        <v>193</v>
      </c>
      <c r="K388" s="13" t="s">
        <v>172</v>
      </c>
      <c r="L388" s="18" t="s">
        <v>147</v>
      </c>
      <c r="M388" s="13" t="s">
        <v>165</v>
      </c>
      <c r="N388" s="13" t="s">
        <v>82</v>
      </c>
      <c r="O388" s="13" t="s">
        <v>79</v>
      </c>
      <c r="P388" s="13" t="s">
        <v>73</v>
      </c>
      <c r="Q388" s="13" t="s">
        <v>74</v>
      </c>
      <c r="W388" s="312"/>
      <c r="Z388" s="11"/>
      <c r="AB388" s="145"/>
    </row>
    <row r="389" spans="1:29" ht="18" customHeight="1" x14ac:dyDescent="0.4">
      <c r="A389" s="40" t="s">
        <v>46</v>
      </c>
      <c r="B389" s="19">
        <f t="shared" ref="B389:B396" si="444">((H389*K389)/O389)*N389</f>
        <v>0</v>
      </c>
      <c r="C389" s="9"/>
      <c r="D389" s="20">
        <f t="shared" si="437"/>
        <v>0</v>
      </c>
      <c r="E389" s="9"/>
      <c r="F389" s="81">
        <f>IF($F$5=0,(B389/($H$6/1000)),B389/$M$416)</f>
        <v>0</v>
      </c>
      <c r="G389" s="71">
        <f t="shared" si="440"/>
        <v>0</v>
      </c>
      <c r="H389" s="83">
        <v>1</v>
      </c>
      <c r="I389" s="83" t="s">
        <v>61</v>
      </c>
      <c r="J389" s="25" t="s">
        <v>136</v>
      </c>
      <c r="K389" s="6">
        <v>0</v>
      </c>
      <c r="L389" s="10" t="str">
        <f>CONCATENATE("/ ",I389)</f>
        <v>/ year</v>
      </c>
      <c r="M389" s="29">
        <f>H389/$H$5</f>
        <v>6.0837988826815659</v>
      </c>
      <c r="N389" s="83">
        <v>0</v>
      </c>
      <c r="O389" s="83">
        <v>1</v>
      </c>
      <c r="P389" s="55" t="s">
        <v>75</v>
      </c>
      <c r="Q389" s="55" t="s">
        <v>75</v>
      </c>
      <c r="W389" s="312">
        <f>IF(beepasture&lt;1,B389,B389/$H$5)</f>
        <v>0</v>
      </c>
      <c r="Z389" s="21">
        <f>B389</f>
        <v>0</v>
      </c>
      <c r="AA389" s="21">
        <f>D389</f>
        <v>0</v>
      </c>
      <c r="AB389" s="74" t="s">
        <v>46</v>
      </c>
    </row>
    <row r="390" spans="1:29" ht="18" customHeight="1" x14ac:dyDescent="0.4">
      <c r="A390" s="24" t="s">
        <v>127</v>
      </c>
      <c r="B390" s="28"/>
      <c r="C390" s="9"/>
      <c r="D390" s="17"/>
      <c r="E390" s="9"/>
      <c r="F390" s="17"/>
      <c r="G390" s="70"/>
      <c r="H390" s="13" t="s">
        <v>142</v>
      </c>
      <c r="I390" s="13" t="s">
        <v>143</v>
      </c>
      <c r="J390" s="34" t="s">
        <v>193</v>
      </c>
      <c r="K390" s="13" t="s">
        <v>172</v>
      </c>
      <c r="L390" s="18" t="s">
        <v>147</v>
      </c>
      <c r="M390" s="13" t="s">
        <v>165</v>
      </c>
      <c r="N390" s="13" t="s">
        <v>82</v>
      </c>
      <c r="O390" s="13" t="s">
        <v>79</v>
      </c>
      <c r="P390" s="13" t="s">
        <v>73</v>
      </c>
      <c r="Q390" s="13" t="s">
        <v>74</v>
      </c>
      <c r="W390" s="312"/>
      <c r="Z390" s="11"/>
      <c r="AB390" s="145"/>
    </row>
    <row r="391" spans="1:29" ht="18" customHeight="1" x14ac:dyDescent="0.4">
      <c r="A391" s="40" t="s">
        <v>110</v>
      </c>
      <c r="B391" s="19">
        <f t="shared" si="444"/>
        <v>0</v>
      </c>
      <c r="C391" s="9"/>
      <c r="D391" s="20">
        <f t="shared" si="437"/>
        <v>0</v>
      </c>
      <c r="E391" s="9"/>
      <c r="F391" s="81">
        <f>IF($F$5=0,(B391/($H$6/1000)),B391/$M$416)</f>
        <v>0</v>
      </c>
      <c r="G391" s="71">
        <f>B391/$B$399</f>
        <v>0</v>
      </c>
      <c r="H391" s="83">
        <v>1</v>
      </c>
      <c r="I391" s="83" t="s">
        <v>61</v>
      </c>
      <c r="J391" s="25" t="s">
        <v>136</v>
      </c>
      <c r="K391" s="6">
        <v>0</v>
      </c>
      <c r="L391" s="10" t="str">
        <f>CONCATENATE("/ ",I391)</f>
        <v>/ year</v>
      </c>
      <c r="M391" s="29">
        <f>H391/$H$5</f>
        <v>6.0837988826815659</v>
      </c>
      <c r="N391" s="83">
        <v>0</v>
      </c>
      <c r="O391" s="83">
        <v>1</v>
      </c>
      <c r="P391" s="55" t="s">
        <v>75</v>
      </c>
      <c r="Q391" s="55" t="s">
        <v>75</v>
      </c>
      <c r="W391" s="312">
        <f>IF(beepasture&lt;1,B391,B391/$H$5)</f>
        <v>0</v>
      </c>
    </row>
    <row r="392" spans="1:29" ht="18" customHeight="1" x14ac:dyDescent="0.4">
      <c r="A392" s="40" t="s">
        <v>111</v>
      </c>
      <c r="B392" s="19">
        <f t="shared" si="444"/>
        <v>0</v>
      </c>
      <c r="C392" s="9"/>
      <c r="D392" s="20">
        <f t="shared" si="437"/>
        <v>0</v>
      </c>
      <c r="E392" s="9"/>
      <c r="F392" s="81">
        <f>IF($F$5=0,(B392/($H$6/1000)),B392/$M$416)</f>
        <v>0</v>
      </c>
      <c r="G392" s="71">
        <f>B392/$B$399</f>
        <v>0</v>
      </c>
      <c r="H392" s="83">
        <v>1</v>
      </c>
      <c r="I392" s="83" t="s">
        <v>61</v>
      </c>
      <c r="J392" s="25" t="s">
        <v>136</v>
      </c>
      <c r="K392" s="6">
        <v>0</v>
      </c>
      <c r="L392" s="10" t="str">
        <f>CONCATENATE("/ ",I392)</f>
        <v>/ year</v>
      </c>
      <c r="M392" s="29">
        <f>H392/$H$5</f>
        <v>6.0837988826815659</v>
      </c>
      <c r="N392" s="83">
        <v>0</v>
      </c>
      <c r="O392" s="83">
        <v>1</v>
      </c>
      <c r="P392" s="55" t="s">
        <v>75</v>
      </c>
      <c r="Q392" s="55" t="s">
        <v>75</v>
      </c>
      <c r="U392" s="275"/>
      <c r="W392" s="312">
        <f>IF(beepasture&lt;1,B392,B392/$H$5)</f>
        <v>0</v>
      </c>
    </row>
    <row r="393" spans="1:29" ht="18" customHeight="1" x14ac:dyDescent="0.4">
      <c r="A393" s="212" t="s">
        <v>112</v>
      </c>
      <c r="B393" s="199">
        <f>((H393*K393)/O393)*N393</f>
        <v>0</v>
      </c>
      <c r="C393" s="200"/>
      <c r="D393" s="201">
        <f t="shared" si="437"/>
        <v>0</v>
      </c>
      <c r="E393" s="200"/>
      <c r="F393" s="201">
        <f>IF($F$5=0,(B393/($H$6/1000)),B393/$M$416)</f>
        <v>0</v>
      </c>
      <c r="G393" s="202">
        <f>B393/$B$399</f>
        <v>0</v>
      </c>
      <c r="H393" s="83">
        <v>1</v>
      </c>
      <c r="I393" s="83" t="s">
        <v>61</v>
      </c>
      <c r="J393" s="206" t="s">
        <v>136</v>
      </c>
      <c r="K393" s="6">
        <v>0</v>
      </c>
      <c r="L393" s="213" t="str">
        <f>CONCATENATE("/ ",I393)</f>
        <v>/ year</v>
      </c>
      <c r="M393" s="204">
        <f>H393/$H$5</f>
        <v>6.0837988826815659</v>
      </c>
      <c r="N393" s="204">
        <v>1</v>
      </c>
      <c r="O393" s="83">
        <v>1</v>
      </c>
      <c r="P393" s="55" t="s">
        <v>75</v>
      </c>
      <c r="Q393" s="55" t="s">
        <v>75</v>
      </c>
      <c r="W393" s="313">
        <f>IF(beepasture&lt;1,B393,B393/$H$5)</f>
        <v>0</v>
      </c>
      <c r="X393" s="10"/>
    </row>
    <row r="394" spans="1:29" ht="18" customHeight="1" x14ac:dyDescent="0.4">
      <c r="A394" s="166" t="s">
        <v>112</v>
      </c>
      <c r="B394" s="159">
        <f>((H394*K394)/O394)*N394</f>
        <v>0</v>
      </c>
      <c r="C394" s="9"/>
      <c r="D394" s="20">
        <f t="shared" si="437"/>
        <v>0</v>
      </c>
      <c r="E394" s="9"/>
      <c r="F394" s="81">
        <f>IF($F$5=0,(B394/($H$6/1000)),B394/$M$416)</f>
        <v>0</v>
      </c>
      <c r="G394" s="71">
        <f>B394/$B$399</f>
        <v>0</v>
      </c>
      <c r="H394" s="61">
        <f>$H$5</f>
        <v>0.16437098255280069</v>
      </c>
      <c r="I394" s="83" t="s">
        <v>200</v>
      </c>
      <c r="J394" s="25" t="s">
        <v>136</v>
      </c>
      <c r="K394" s="6">
        <v>0</v>
      </c>
      <c r="L394" s="10" t="str">
        <f>CONCATENATE("/ ",I394)</f>
        <v>/ acre</v>
      </c>
      <c r="M394" s="29">
        <f>H394/$H$5</f>
        <v>1</v>
      </c>
      <c r="N394" s="83">
        <v>0</v>
      </c>
      <c r="O394" s="83">
        <v>1</v>
      </c>
      <c r="P394" s="55" t="s">
        <v>75</v>
      </c>
      <c r="Q394" s="55" t="s">
        <v>75</v>
      </c>
      <c r="W394" s="312">
        <f>IF(beepasture&lt;1,B394,B394/$H$5)</f>
        <v>0</v>
      </c>
      <c r="X394" s="10"/>
    </row>
    <row r="395" spans="1:29" ht="18" customHeight="1" x14ac:dyDescent="0.4">
      <c r="A395" s="24" t="s">
        <v>128</v>
      </c>
      <c r="C395" s="9"/>
      <c r="D395" s="17"/>
      <c r="E395" s="9"/>
      <c r="F395" s="17"/>
      <c r="G395" s="70"/>
      <c r="H395" s="13" t="s">
        <v>142</v>
      </c>
      <c r="I395" s="13" t="s">
        <v>143</v>
      </c>
      <c r="J395" s="34" t="s">
        <v>193</v>
      </c>
      <c r="K395" s="13" t="s">
        <v>172</v>
      </c>
      <c r="L395" s="18" t="s">
        <v>147</v>
      </c>
      <c r="M395" s="13" t="s">
        <v>165</v>
      </c>
      <c r="N395" s="13" t="s">
        <v>82</v>
      </c>
      <c r="O395" s="13" t="s">
        <v>79</v>
      </c>
      <c r="P395" s="13" t="s">
        <v>73</v>
      </c>
      <c r="Q395" s="13" t="s">
        <v>74</v>
      </c>
      <c r="W395" s="312"/>
    </row>
    <row r="396" spans="1:29" ht="18" customHeight="1" x14ac:dyDescent="0.4">
      <c r="A396" s="40" t="s">
        <v>181</v>
      </c>
      <c r="B396" s="19">
        <f t="shared" si="444"/>
        <v>0</v>
      </c>
      <c r="C396" s="9"/>
      <c r="D396" s="20">
        <f t="shared" si="437"/>
        <v>0</v>
      </c>
      <c r="E396" s="9"/>
      <c r="F396" s="81">
        <f>IF($F$5=0,(B396/($H$6/1000)),B396/$M$416)</f>
        <v>0</v>
      </c>
      <c r="G396" s="71">
        <f>B396/$B$399</f>
        <v>0</v>
      </c>
      <c r="H396" s="83">
        <v>1</v>
      </c>
      <c r="I396" s="83" t="s">
        <v>61</v>
      </c>
      <c r="J396" s="25" t="s">
        <v>136</v>
      </c>
      <c r="K396" s="6">
        <v>0</v>
      </c>
      <c r="L396" s="10" t="str">
        <f>CONCATENATE("/ ",I396)</f>
        <v>/ year</v>
      </c>
      <c r="M396" s="29">
        <f>H396/$H$5</f>
        <v>6.0837988826815659</v>
      </c>
      <c r="N396" s="83">
        <v>0</v>
      </c>
      <c r="O396" s="83">
        <v>1</v>
      </c>
      <c r="P396" s="55" t="s">
        <v>75</v>
      </c>
      <c r="Q396" s="55" t="s">
        <v>75</v>
      </c>
      <c r="R396" s="13" t="s">
        <v>338</v>
      </c>
      <c r="S396" s="13"/>
      <c r="T396" s="187"/>
      <c r="U396" s="187"/>
      <c r="V396" s="187"/>
      <c r="W396" s="312">
        <f>IF(beepasture&lt;1,B396,B396/$H$5)</f>
        <v>0</v>
      </c>
      <c r="X396" s="18"/>
      <c r="Y396" s="18"/>
    </row>
    <row r="397" spans="1:29" ht="18" customHeight="1" x14ac:dyDescent="0.4">
      <c r="A397" s="212" t="s">
        <v>182</v>
      </c>
      <c r="B397" s="199">
        <f>((H397*K397)/O397)*N397</f>
        <v>42.874196510560139</v>
      </c>
      <c r="C397" s="200"/>
      <c r="D397" s="678">
        <f>IF($D$5=0,W397,B397/$J$14)</f>
        <v>42.874196510560139</v>
      </c>
      <c r="E397" s="200"/>
      <c r="F397" s="201">
        <f>IF($F$5=0,(B397/($H$6/1000)),B397/$M$416)</f>
        <v>5.988016272424602</v>
      </c>
      <c r="G397" s="202">
        <f>B397/$B$399</f>
        <v>0.14018906649947188</v>
      </c>
      <c r="H397" s="214">
        <f>R397/1000</f>
        <v>2.1437098255280072</v>
      </c>
      <c r="I397" s="83" t="s">
        <v>339</v>
      </c>
      <c r="J397" s="206" t="s">
        <v>136</v>
      </c>
      <c r="K397" s="619">
        <f>'KEY DATA'!J48</f>
        <v>20</v>
      </c>
      <c r="L397" s="213" t="str">
        <f>CONCATENATE("/ ",I397)</f>
        <v>/ $1000 val</v>
      </c>
      <c r="M397" s="204">
        <f>H397/$H$5</f>
        <v>13.041899441340783</v>
      </c>
      <c r="N397" s="83">
        <v>1</v>
      </c>
      <c r="O397" s="83">
        <v>1</v>
      </c>
      <c r="P397" s="55" t="s">
        <v>75</v>
      </c>
      <c r="Q397" s="55" t="s">
        <v>75</v>
      </c>
      <c r="R397" s="75">
        <f>SUM(I329:I334)*$J$1+(I387*(H387))</f>
        <v>2143.7098255280071</v>
      </c>
      <c r="S397" s="75"/>
      <c r="T397" s="75"/>
      <c r="U397" s="75"/>
      <c r="V397" s="75"/>
      <c r="W397" s="313">
        <f>IF(beepasture&lt;1,B397,B397/$H$5)</f>
        <v>42.874196510560139</v>
      </c>
      <c r="Z397" s="21">
        <f>SUM(B390:B397)</f>
        <v>42.874196510560139</v>
      </c>
      <c r="AA397" s="21">
        <f>SUM(D390:D397)</f>
        <v>42.874196510560139</v>
      </c>
      <c r="AB397" s="74" t="s">
        <v>340</v>
      </c>
    </row>
    <row r="398" spans="1:29" ht="18" customHeight="1" x14ac:dyDescent="0.4">
      <c r="A398" s="40"/>
      <c r="B398" s="40"/>
      <c r="C398" s="9"/>
      <c r="D398" s="17"/>
      <c r="E398" s="9"/>
      <c r="F398" s="17"/>
      <c r="G398" s="70"/>
      <c r="H398" s="66">
        <f>R398/1000</f>
        <v>10.5</v>
      </c>
      <c r="R398" s="75">
        <f>SUM(I329:I334)*$J$1+(I387*(1))</f>
        <v>10500</v>
      </c>
      <c r="S398" s="75"/>
      <c r="T398" s="75"/>
      <c r="U398" s="75"/>
      <c r="V398" s="75"/>
      <c r="W398" s="324"/>
      <c r="Z398" s="11"/>
      <c r="AB398" s="145"/>
    </row>
    <row r="399" spans="1:29" ht="18" customHeight="1" x14ac:dyDescent="0.4">
      <c r="A399" s="15" t="s">
        <v>125</v>
      </c>
      <c r="B399" s="9">
        <f>SUM(B328:B397)</f>
        <v>305.83124334251596</v>
      </c>
      <c r="C399" s="9"/>
      <c r="D399" s="16">
        <f>SUM(D328:D397)</f>
        <v>305.83124334251596</v>
      </c>
      <c r="E399" s="9"/>
      <c r="F399" s="16">
        <f>SUM(F328:F397)</f>
        <v>42.713860802027376</v>
      </c>
      <c r="G399" s="165">
        <f>SUM(G328:G398)</f>
        <v>1</v>
      </c>
      <c r="H399" s="228"/>
      <c r="I399" s="228"/>
      <c r="J399" s="228"/>
      <c r="Z399" s="17">
        <f>SUM(Z328:Z397)</f>
        <v>305.83124334251596</v>
      </c>
      <c r="AA399" s="17">
        <f>SUM(AA328:AA397)</f>
        <v>305.83124334251596</v>
      </c>
      <c r="AB399" s="145"/>
      <c r="AC399" s="17">
        <f>AA399+AB323</f>
        <v>3346.2146114932898</v>
      </c>
    </row>
    <row r="400" spans="1:29" ht="18" customHeight="1" thickBot="1" x14ac:dyDescent="0.45">
      <c r="A400" s="42"/>
      <c r="B400" s="28"/>
      <c r="C400" s="9"/>
      <c r="D400" s="16"/>
      <c r="E400" s="9"/>
      <c r="F400" s="17"/>
      <c r="G400" s="277"/>
      <c r="H400" s="287"/>
      <c r="I400" s="288" t="s">
        <v>536</v>
      </c>
      <c r="J400" s="289" t="s">
        <v>511</v>
      </c>
      <c r="K400" s="64"/>
    </row>
    <row r="401" spans="1:15" ht="18" customHeight="1" thickBot="1" x14ac:dyDescent="0.45">
      <c r="A401" s="90" t="s">
        <v>185</v>
      </c>
      <c r="B401" s="88">
        <f>B313+B323+B399</f>
        <v>802.01563891374769</v>
      </c>
      <c r="C401" s="87"/>
      <c r="D401" s="89">
        <f>D313+D323+D399</f>
        <v>3324.5173147228015</v>
      </c>
      <c r="E401" s="87"/>
      <c r="F401" s="89">
        <f>F313+F323+F399</f>
        <v>112.01335739018822</v>
      </c>
      <c r="G401" s="277"/>
      <c r="H401" s="284"/>
      <c r="I401" s="285" t="s">
        <v>315</v>
      </c>
      <c r="J401" s="286">
        <f>SUMPRODUCT(H329:H334,I329:I334)</f>
        <v>50000</v>
      </c>
      <c r="K401" s="64"/>
      <c r="O401" s="167"/>
    </row>
    <row r="402" spans="1:15" ht="18" customHeight="1" x14ac:dyDescent="0.4">
      <c r="A402" s="596"/>
      <c r="B402" s="597"/>
      <c r="C402" s="598"/>
      <c r="D402" s="599"/>
      <c r="E402" s="598"/>
      <c r="F402" s="599"/>
      <c r="G402" s="277"/>
      <c r="H402" s="279"/>
      <c r="I402" s="25" t="s">
        <v>201</v>
      </c>
      <c r="J402" s="280">
        <f>SUMPRODUCT(H336:H386,I336:I386)</f>
        <v>63345.18</v>
      </c>
      <c r="K402" s="64"/>
    </row>
    <row r="403" spans="1:15" ht="18" customHeight="1" x14ac:dyDescent="0.4">
      <c r="A403" s="603" t="s">
        <v>698</v>
      </c>
      <c r="B403" s="604">
        <f>B8-B401</f>
        <v>-802.01563891374769</v>
      </c>
      <c r="C403" s="604"/>
      <c r="D403" s="605">
        <f>D8-D401</f>
        <v>-3324.5173147228015</v>
      </c>
      <c r="E403" s="604"/>
      <c r="F403" s="605">
        <f>F8-F401</f>
        <v>-112.01335739018822</v>
      </c>
      <c r="G403" s="278"/>
      <c r="H403" s="281"/>
      <c r="I403" s="282" t="s">
        <v>337</v>
      </c>
      <c r="J403" s="283">
        <f>SUMPRODUCT(H387,I387)</f>
        <v>1643.7098255280068</v>
      </c>
      <c r="K403" s="64"/>
    </row>
    <row r="404" spans="1:15" ht="18" customHeight="1" x14ac:dyDescent="0.4">
      <c r="A404" s="600" t="s">
        <v>115</v>
      </c>
      <c r="B404" s="601">
        <f>B8-B313</f>
        <v>-496.18439557123173</v>
      </c>
      <c r="C404" s="601"/>
      <c r="D404" s="602">
        <f>D8-D313</f>
        <v>-3018.6860713802857</v>
      </c>
      <c r="E404" s="601"/>
      <c r="F404" s="602">
        <f>F8-F313</f>
        <v>-69.299496588160849</v>
      </c>
      <c r="G404" s="277"/>
      <c r="H404" s="287"/>
      <c r="I404" s="295" t="s">
        <v>429</v>
      </c>
      <c r="J404" s="294">
        <f>SUM(J401:J403)</f>
        <v>114988.88982552799</v>
      </c>
    </row>
    <row r="405" spans="1:15" ht="18" customHeight="1" x14ac:dyDescent="0.4">
      <c r="A405" s="15"/>
      <c r="B405" s="9"/>
      <c r="C405" s="9"/>
      <c r="D405" s="17"/>
      <c r="E405" s="9"/>
      <c r="F405" s="16"/>
      <c r="G405" s="70"/>
      <c r="H405" s="63"/>
      <c r="I405" s="63"/>
      <c r="J405" s="63"/>
    </row>
    <row r="406" spans="1:15" ht="18" customHeight="1" x14ac:dyDescent="0.4">
      <c r="A406" s="15" t="s">
        <v>116</v>
      </c>
      <c r="B406" s="26"/>
      <c r="C406" s="9"/>
      <c r="D406" s="17"/>
      <c r="E406" s="9"/>
      <c r="F406" s="16"/>
      <c r="G406" s="70"/>
    </row>
    <row r="407" spans="1:15" ht="18" customHeight="1" x14ac:dyDescent="0.4">
      <c r="A407" s="43" t="s">
        <v>117</v>
      </c>
      <c r="B407" s="25"/>
      <c r="C407" s="9"/>
      <c r="D407" s="17"/>
      <c r="E407" s="9"/>
      <c r="F407" s="16"/>
      <c r="G407" s="70"/>
    </row>
    <row r="408" spans="1:15" ht="18" customHeight="1" x14ac:dyDescent="0.4">
      <c r="A408" s="24" t="s">
        <v>118</v>
      </c>
      <c r="B408" s="44">
        <f>B401</f>
        <v>802.01563891374769</v>
      </c>
      <c r="C408" s="9"/>
      <c r="D408" s="20">
        <f>D401</f>
        <v>3324.5173147228015</v>
      </c>
      <c r="E408" s="9"/>
      <c r="F408" s="20">
        <f>F401</f>
        <v>112.01335739018822</v>
      </c>
      <c r="G408" s="70"/>
    </row>
    <row r="409" spans="1:15" ht="18" customHeight="1" x14ac:dyDescent="0.4">
      <c r="A409" s="24" t="s">
        <v>126</v>
      </c>
      <c r="B409" s="44">
        <f>B313</f>
        <v>496.18439557123173</v>
      </c>
      <c r="C409" s="9"/>
      <c r="D409" s="20">
        <f>D313</f>
        <v>3018.6860713802857</v>
      </c>
      <c r="E409" s="9"/>
      <c r="F409" s="20">
        <f>F313</f>
        <v>69.299496588160849</v>
      </c>
      <c r="G409" s="70"/>
    </row>
    <row r="410" spans="1:15" ht="18" customHeight="1" x14ac:dyDescent="0.4">
      <c r="A410" s="42"/>
      <c r="B410" s="45"/>
      <c r="C410" s="9"/>
      <c r="D410" s="17"/>
      <c r="E410" s="9"/>
      <c r="F410" s="16"/>
      <c r="G410" s="70"/>
      <c r="H410" s="46"/>
    </row>
    <row r="411" spans="1:15" ht="18" customHeight="1" x14ac:dyDescent="0.4">
      <c r="A411" s="43" t="s">
        <v>121</v>
      </c>
      <c r="B411" s="45" t="s">
        <v>129</v>
      </c>
      <c r="C411" s="9"/>
      <c r="D411" s="17"/>
      <c r="E411" s="9"/>
      <c r="F411" s="17"/>
      <c r="G411" s="70"/>
      <c r="H411" s="47" t="s">
        <v>169</v>
      </c>
    </row>
    <row r="412" spans="1:15" ht="18" customHeight="1" x14ac:dyDescent="0.4">
      <c r="A412" s="24" t="s">
        <v>119</v>
      </c>
      <c r="B412" s="48">
        <f>B403/I412</f>
        <v>-168.97235899905871</v>
      </c>
      <c r="C412" s="9"/>
      <c r="D412" s="17"/>
      <c r="E412" s="9"/>
      <c r="F412" s="17"/>
      <c r="G412" s="70"/>
      <c r="H412" s="45" t="s">
        <v>173</v>
      </c>
      <c r="I412" s="76">
        <f>SUM(H55:H62)/$K$5</f>
        <v>4.7464309764309762</v>
      </c>
      <c r="J412" s="10" t="s">
        <v>166</v>
      </c>
      <c r="K412" s="49">
        <f>I412/$I$419</f>
        <v>2.3732154882154882E-2</v>
      </c>
      <c r="L412" s="10" t="s">
        <v>167</v>
      </c>
      <c r="M412" s="60">
        <f>K412/$I$423</f>
        <v>1.9776795735129069E-3</v>
      </c>
      <c r="N412" s="10" t="s">
        <v>168</v>
      </c>
    </row>
    <row r="413" spans="1:15" ht="18" customHeight="1" x14ac:dyDescent="0.4">
      <c r="A413" s="24" t="s">
        <v>120</v>
      </c>
      <c r="B413" s="48">
        <f>B404/I412</f>
        <v>-104.53842013822602</v>
      </c>
      <c r="C413" s="9"/>
      <c r="D413" s="17"/>
      <c r="E413" s="9"/>
      <c r="F413" s="17"/>
      <c r="G413" s="70"/>
      <c r="H413" s="45" t="s">
        <v>140</v>
      </c>
      <c r="I413" s="76">
        <f>M418-I412</f>
        <v>10.15056846240179</v>
      </c>
      <c r="J413" s="10" t="s">
        <v>166</v>
      </c>
      <c r="K413" s="49">
        <f>I413/$I$419</f>
        <v>5.0752842312008946E-2</v>
      </c>
      <c r="L413" s="10" t="s">
        <v>167</v>
      </c>
      <c r="M413" s="49">
        <f>K413/$I$423</f>
        <v>4.2294035260007452E-3</v>
      </c>
      <c r="N413" s="10" t="s">
        <v>168</v>
      </c>
    </row>
    <row r="414" spans="1:15" ht="18" customHeight="1" x14ac:dyDescent="0.4">
      <c r="C414" s="9"/>
      <c r="D414" s="17"/>
      <c r="E414" s="9"/>
      <c r="F414" s="17"/>
      <c r="G414" s="70"/>
      <c r="H414" s="45" t="s">
        <v>148</v>
      </c>
      <c r="I414" s="3">
        <v>0</v>
      </c>
      <c r="J414" s="10" t="s">
        <v>166</v>
      </c>
      <c r="K414" s="49">
        <f>I414/$I$419</f>
        <v>0</v>
      </c>
      <c r="L414" s="10" t="s">
        <v>167</v>
      </c>
      <c r="M414" s="49">
        <f>K414/$I$423</f>
        <v>0</v>
      </c>
      <c r="N414" s="10" t="s">
        <v>168</v>
      </c>
    </row>
    <row r="415" spans="1:15" ht="18" customHeight="1" x14ac:dyDescent="0.4">
      <c r="A415" s="43" t="s">
        <v>377</v>
      </c>
      <c r="B415" s="45" t="s">
        <v>129</v>
      </c>
      <c r="C415" s="9"/>
      <c r="D415" s="17"/>
      <c r="E415" s="9"/>
      <c r="F415" s="17"/>
      <c r="G415" s="70"/>
      <c r="H415" s="45" t="s">
        <v>341</v>
      </c>
      <c r="I415" s="183">
        <v>0</v>
      </c>
      <c r="J415" s="10" t="s">
        <v>166</v>
      </c>
      <c r="K415" s="49">
        <f>I415/$I$419</f>
        <v>0</v>
      </c>
      <c r="L415" s="10" t="s">
        <v>167</v>
      </c>
      <c r="M415" s="92">
        <f>K415/$I$423</f>
        <v>0</v>
      </c>
      <c r="N415" s="10" t="s">
        <v>168</v>
      </c>
    </row>
    <row r="416" spans="1:15" ht="18" customHeight="1" x14ac:dyDescent="0.4">
      <c r="A416" s="24" t="s">
        <v>119</v>
      </c>
      <c r="B416" s="48">
        <f>B403/I416</f>
        <v>-53.837394718770867</v>
      </c>
      <c r="C416" s="9"/>
      <c r="D416" s="17"/>
      <c r="E416" s="9"/>
      <c r="F416" s="17"/>
      <c r="G416" s="70"/>
      <c r="H416" s="50"/>
      <c r="I416" s="184">
        <f>SUM(I412:I415)</f>
        <v>14.896999438832765</v>
      </c>
      <c r="J416" s="74" t="s">
        <v>176</v>
      </c>
      <c r="K416" s="50"/>
      <c r="L416" s="52" t="s">
        <v>183</v>
      </c>
      <c r="M416" s="182">
        <f>SUM(M412:M415)</f>
        <v>6.2070830995136521E-3</v>
      </c>
      <c r="N416" s="91" t="s">
        <v>168</v>
      </c>
    </row>
    <row r="417" spans="1:14" ht="18" customHeight="1" x14ac:dyDescent="0.4">
      <c r="A417" s="24" t="s">
        <v>120</v>
      </c>
      <c r="B417" s="48">
        <f>B404/I416</f>
        <v>-33.30767364317694</v>
      </c>
      <c r="C417" s="9"/>
      <c r="D417" s="17"/>
      <c r="E417" s="9"/>
      <c r="F417" s="17"/>
      <c r="G417" s="70"/>
      <c r="H417" s="45" t="s">
        <v>149</v>
      </c>
      <c r="I417" s="50"/>
      <c r="J417" s="51"/>
      <c r="K417" s="50"/>
      <c r="L417" s="50"/>
    </row>
    <row r="418" spans="1:14" ht="18" customHeight="1" x14ac:dyDescent="0.4">
      <c r="C418" s="9"/>
      <c r="D418" s="17"/>
      <c r="E418" s="9"/>
      <c r="F418" s="17"/>
      <c r="G418" s="70"/>
      <c r="H418" s="45" t="s">
        <v>150</v>
      </c>
      <c r="J418" s="51"/>
      <c r="K418" s="50"/>
      <c r="L418" s="59" t="s">
        <v>175</v>
      </c>
      <c r="M418" s="49">
        <f>(SUM(H54:H140)/$K$5)+SUM(H141:H165)</f>
        <v>14.896999438832765</v>
      </c>
      <c r="N418" s="10" t="s">
        <v>176</v>
      </c>
    </row>
    <row r="419" spans="1:14" ht="18" customHeight="1" x14ac:dyDescent="0.4">
      <c r="C419" s="9"/>
      <c r="D419" s="17"/>
      <c r="E419" s="9"/>
      <c r="F419" s="17"/>
      <c r="G419" s="70"/>
      <c r="H419" s="45" t="s">
        <v>151</v>
      </c>
      <c r="I419" s="3">
        <v>200</v>
      </c>
      <c r="J419" s="51"/>
      <c r="K419" s="50"/>
      <c r="L419" s="50"/>
      <c r="M419" s="50"/>
      <c r="N419" s="50"/>
    </row>
    <row r="420" spans="1:14" ht="18" customHeight="1" x14ac:dyDescent="0.4">
      <c r="C420" s="9"/>
      <c r="D420" s="17"/>
      <c r="E420" s="9"/>
      <c r="F420" s="17"/>
      <c r="G420" s="70"/>
    </row>
    <row r="421" spans="1:14" ht="18" customHeight="1" x14ac:dyDescent="0.4">
      <c r="C421" s="9"/>
      <c r="D421" s="17"/>
      <c r="E421" s="9"/>
      <c r="F421" s="17"/>
      <c r="G421" s="70"/>
      <c r="H421" s="45" t="s">
        <v>149</v>
      </c>
    </row>
    <row r="422" spans="1:14" ht="18" customHeight="1" x14ac:dyDescent="0.4">
      <c r="C422" s="9"/>
      <c r="D422" s="17"/>
      <c r="E422" s="9"/>
      <c r="F422" s="17"/>
      <c r="G422" s="70"/>
      <c r="H422" s="45" t="s">
        <v>39</v>
      </c>
    </row>
    <row r="423" spans="1:14" ht="18" customHeight="1" x14ac:dyDescent="0.4">
      <c r="C423" s="9"/>
      <c r="D423" s="17"/>
      <c r="E423" s="9"/>
      <c r="F423" s="17"/>
      <c r="G423" s="70"/>
      <c r="H423" s="45" t="s">
        <v>69</v>
      </c>
      <c r="I423" s="3">
        <v>12</v>
      </c>
    </row>
    <row r="424" spans="1:14" ht="18" customHeight="1" x14ac:dyDescent="0.4">
      <c r="C424" s="9"/>
      <c r="D424" s="17"/>
      <c r="E424" s="9"/>
      <c r="F424" s="17"/>
      <c r="G424" s="70"/>
    </row>
    <row r="425" spans="1:14" ht="18" customHeight="1" x14ac:dyDescent="0.4">
      <c r="C425" s="9"/>
      <c r="D425" s="17"/>
      <c r="E425" s="9"/>
      <c r="F425" s="17"/>
      <c r="G425" s="70"/>
    </row>
    <row r="426" spans="1:14" ht="18" customHeight="1" x14ac:dyDescent="0.4">
      <c r="C426" s="9"/>
      <c r="D426" s="17"/>
      <c r="E426" s="9"/>
      <c r="F426" s="17"/>
      <c r="G426" s="70"/>
    </row>
    <row r="427" spans="1:14" ht="18" customHeight="1" x14ac:dyDescent="0.4">
      <c r="C427" s="9"/>
      <c r="D427" s="17"/>
      <c r="E427" s="9"/>
      <c r="F427" s="17"/>
      <c r="G427" s="70"/>
    </row>
    <row r="428" spans="1:14" ht="18" customHeight="1" x14ac:dyDescent="0.4">
      <c r="C428" s="9"/>
      <c r="D428" s="17"/>
      <c r="E428" s="9"/>
      <c r="F428" s="17"/>
      <c r="G428" s="70"/>
    </row>
    <row r="429" spans="1:14" ht="18" customHeight="1" x14ac:dyDescent="0.4">
      <c r="C429" s="9"/>
      <c r="D429" s="17"/>
      <c r="E429" s="9"/>
      <c r="F429" s="17"/>
      <c r="G429" s="70"/>
    </row>
    <row r="430" spans="1:14" ht="18" customHeight="1" x14ac:dyDescent="0.4">
      <c r="C430" s="9"/>
      <c r="D430" s="17"/>
      <c r="E430" s="9"/>
      <c r="F430" s="17"/>
      <c r="G430" s="70"/>
    </row>
    <row r="431" spans="1:14" ht="18" customHeight="1" x14ac:dyDescent="0.4">
      <c r="C431" s="9"/>
      <c r="D431" s="17"/>
      <c r="E431" s="9"/>
      <c r="F431" s="17"/>
      <c r="G431" s="70"/>
    </row>
    <row r="432" spans="1:14" ht="18" customHeight="1" x14ac:dyDescent="0.4">
      <c r="C432" s="9"/>
      <c r="D432" s="17"/>
      <c r="E432" s="9"/>
      <c r="F432" s="17"/>
      <c r="G432" s="70"/>
    </row>
    <row r="433" spans="3:7" ht="18" customHeight="1" x14ac:dyDescent="0.4">
      <c r="C433" s="9"/>
      <c r="D433" s="17"/>
      <c r="E433" s="9"/>
      <c r="F433" s="17"/>
      <c r="G433" s="70"/>
    </row>
    <row r="434" spans="3:7" ht="18" customHeight="1" x14ac:dyDescent="0.4">
      <c r="C434" s="9"/>
      <c r="D434" s="17"/>
      <c r="E434" s="9"/>
      <c r="F434" s="17"/>
      <c r="G434" s="70"/>
    </row>
    <row r="435" spans="3:7" ht="18" customHeight="1" x14ac:dyDescent="0.4">
      <c r="C435" s="9"/>
      <c r="D435" s="17"/>
      <c r="E435" s="9"/>
      <c r="F435" s="17"/>
      <c r="G435" s="70"/>
    </row>
    <row r="436" spans="3:7" ht="18" customHeight="1" x14ac:dyDescent="0.4">
      <c r="C436" s="9"/>
      <c r="D436" s="17"/>
      <c r="E436" s="9"/>
      <c r="F436" s="17"/>
      <c r="G436" s="70"/>
    </row>
    <row r="437" spans="3:7" ht="18" customHeight="1" x14ac:dyDescent="0.4">
      <c r="C437" s="9"/>
      <c r="D437" s="17"/>
      <c r="E437" s="9"/>
      <c r="F437" s="17"/>
      <c r="G437" s="70"/>
    </row>
    <row r="438" spans="3:7" ht="18" customHeight="1" x14ac:dyDescent="0.4">
      <c r="C438" s="9"/>
      <c r="D438" s="17"/>
      <c r="E438" s="9"/>
      <c r="F438" s="17"/>
      <c r="G438" s="70"/>
    </row>
    <row r="439" spans="3:7" ht="18" customHeight="1" x14ac:dyDescent="0.4">
      <c r="C439" s="9"/>
      <c r="D439" s="17"/>
      <c r="E439" s="9"/>
      <c r="F439" s="17"/>
      <c r="G439" s="70"/>
    </row>
    <row r="440" spans="3:7" ht="18" customHeight="1" x14ac:dyDescent="0.4">
      <c r="C440" s="9"/>
      <c r="D440" s="17"/>
      <c r="E440" s="9"/>
      <c r="F440" s="17"/>
      <c r="G440" s="70"/>
    </row>
    <row r="441" spans="3:7" ht="18" customHeight="1" x14ac:dyDescent="0.4">
      <c r="C441" s="9"/>
      <c r="D441" s="17"/>
      <c r="E441" s="9"/>
      <c r="F441" s="17"/>
      <c r="G441" s="70"/>
    </row>
    <row r="442" spans="3:7" ht="18" customHeight="1" x14ac:dyDescent="0.4">
      <c r="C442" s="9"/>
      <c r="D442" s="17"/>
      <c r="E442" s="9"/>
      <c r="F442" s="17"/>
      <c r="G442" s="70"/>
    </row>
    <row r="443" spans="3:7" ht="18" customHeight="1" x14ac:dyDescent="0.4">
      <c r="C443" s="9"/>
      <c r="D443" s="17"/>
      <c r="E443" s="9"/>
      <c r="F443" s="17"/>
      <c r="G443" s="70"/>
    </row>
    <row r="444" spans="3:7" ht="18" customHeight="1" x14ac:dyDescent="0.4">
      <c r="C444" s="9"/>
      <c r="D444" s="17"/>
      <c r="E444" s="9"/>
      <c r="F444" s="17"/>
      <c r="G444" s="70"/>
    </row>
    <row r="445" spans="3:7" ht="18" customHeight="1" x14ac:dyDescent="0.4">
      <c r="C445" s="9"/>
      <c r="D445" s="17"/>
      <c r="E445" s="9"/>
      <c r="F445" s="17"/>
      <c r="G445" s="70"/>
    </row>
    <row r="446" spans="3:7" ht="18" customHeight="1" x14ac:dyDescent="0.4">
      <c r="C446" s="9"/>
      <c r="D446" s="17"/>
      <c r="E446" s="9"/>
      <c r="F446" s="17"/>
      <c r="G446" s="70"/>
    </row>
    <row r="447" spans="3:7" ht="18" customHeight="1" x14ac:dyDescent="0.4">
      <c r="C447" s="9"/>
      <c r="D447" s="17"/>
      <c r="E447" s="9"/>
      <c r="F447" s="17"/>
      <c r="G447" s="70"/>
    </row>
    <row r="448" spans="3:7" ht="18" customHeight="1" x14ac:dyDescent="0.4">
      <c r="C448" s="9"/>
      <c r="D448" s="17"/>
      <c r="E448" s="9"/>
      <c r="F448" s="17"/>
      <c r="G448" s="70"/>
    </row>
    <row r="449" spans="3:7" ht="18" customHeight="1" x14ac:dyDescent="0.4">
      <c r="C449" s="9"/>
      <c r="D449" s="17"/>
      <c r="E449" s="9"/>
      <c r="F449" s="17"/>
      <c r="G449" s="70"/>
    </row>
    <row r="450" spans="3:7" ht="18" customHeight="1" x14ac:dyDescent="0.4">
      <c r="C450" s="9"/>
      <c r="D450" s="17"/>
      <c r="E450" s="9"/>
      <c r="F450" s="17"/>
      <c r="G450" s="70"/>
    </row>
    <row r="451" spans="3:7" ht="18" customHeight="1" x14ac:dyDescent="0.4">
      <c r="C451" s="9"/>
      <c r="D451" s="17"/>
      <c r="E451" s="9"/>
      <c r="F451" s="17"/>
      <c r="G451" s="70"/>
    </row>
    <row r="452" spans="3:7" ht="18" customHeight="1" x14ac:dyDescent="0.4">
      <c r="C452" s="9"/>
      <c r="D452" s="17"/>
      <c r="E452" s="9"/>
      <c r="F452" s="17"/>
      <c r="G452" s="70"/>
    </row>
    <row r="453" spans="3:7" ht="18" customHeight="1" x14ac:dyDescent="0.4">
      <c r="C453" s="9"/>
      <c r="D453" s="17"/>
      <c r="E453" s="9"/>
      <c r="F453" s="17"/>
      <c r="G453" s="70"/>
    </row>
    <row r="454" spans="3:7" ht="18" customHeight="1" x14ac:dyDescent="0.4">
      <c r="C454" s="9"/>
      <c r="D454" s="17"/>
      <c r="E454" s="9"/>
      <c r="F454" s="17"/>
      <c r="G454" s="70"/>
    </row>
    <row r="455" spans="3:7" ht="18" customHeight="1" x14ac:dyDescent="0.4">
      <c r="C455" s="9"/>
      <c r="D455" s="17"/>
      <c r="E455" s="9"/>
      <c r="F455" s="17"/>
      <c r="G455" s="70"/>
    </row>
    <row r="456" spans="3:7" ht="18" customHeight="1" x14ac:dyDescent="0.4">
      <c r="C456" s="9"/>
      <c r="D456" s="17"/>
      <c r="E456" s="9"/>
      <c r="F456" s="17"/>
      <c r="G456" s="70"/>
    </row>
    <row r="457" spans="3:7" ht="18" customHeight="1" x14ac:dyDescent="0.4">
      <c r="C457" s="9"/>
      <c r="D457" s="17"/>
      <c r="E457" s="9"/>
      <c r="F457" s="17"/>
      <c r="G457" s="70"/>
    </row>
    <row r="458" spans="3:7" ht="18" customHeight="1" x14ac:dyDescent="0.4">
      <c r="C458" s="9"/>
      <c r="D458" s="17"/>
      <c r="E458" s="9"/>
      <c r="F458" s="17"/>
      <c r="G458" s="70"/>
    </row>
    <row r="459" spans="3:7" ht="18" customHeight="1" x14ac:dyDescent="0.4">
      <c r="C459" s="9"/>
      <c r="D459" s="17"/>
      <c r="E459" s="9"/>
      <c r="F459" s="17"/>
      <c r="G459" s="70"/>
    </row>
    <row r="460" spans="3:7" ht="18" customHeight="1" x14ac:dyDescent="0.4">
      <c r="C460" s="9"/>
      <c r="D460" s="17"/>
      <c r="E460" s="9"/>
      <c r="F460" s="17"/>
      <c r="G460" s="70"/>
    </row>
    <row r="461" spans="3:7" ht="18" customHeight="1" x14ac:dyDescent="0.4">
      <c r="C461" s="9"/>
      <c r="D461" s="17"/>
      <c r="E461" s="9"/>
      <c r="F461" s="17"/>
      <c r="G461" s="70"/>
    </row>
    <row r="462" spans="3:7" ht="18" customHeight="1" x14ac:dyDescent="0.4">
      <c r="C462" s="9"/>
      <c r="D462" s="17"/>
      <c r="E462" s="9"/>
      <c r="F462" s="17"/>
      <c r="G462" s="70"/>
    </row>
    <row r="463" spans="3:7" ht="18" customHeight="1" x14ac:dyDescent="0.4">
      <c r="C463" s="9"/>
      <c r="D463" s="17"/>
      <c r="E463" s="9"/>
      <c r="F463" s="17"/>
      <c r="G463" s="70"/>
    </row>
    <row r="464" spans="3:7" ht="18" customHeight="1" x14ac:dyDescent="0.4">
      <c r="C464" s="9"/>
      <c r="D464" s="17"/>
      <c r="E464" s="9"/>
      <c r="F464" s="17"/>
      <c r="G464" s="70"/>
    </row>
    <row r="465" spans="3:17" ht="18" customHeight="1" x14ac:dyDescent="0.4">
      <c r="C465" s="9"/>
      <c r="D465" s="17"/>
      <c r="E465" s="9"/>
      <c r="F465" s="17"/>
      <c r="G465" s="70"/>
    </row>
    <row r="466" spans="3:17" ht="18" customHeight="1" x14ac:dyDescent="0.4">
      <c r="C466" s="9"/>
      <c r="D466" s="17"/>
      <c r="E466" s="9"/>
      <c r="F466" s="17"/>
      <c r="G466" s="70"/>
    </row>
    <row r="467" spans="3:17" ht="18" customHeight="1" x14ac:dyDescent="0.4">
      <c r="C467" s="9"/>
      <c r="D467" s="17"/>
      <c r="E467" s="9"/>
      <c r="F467" s="17"/>
      <c r="G467" s="70"/>
    </row>
    <row r="468" spans="3:17" ht="18" customHeight="1" x14ac:dyDescent="0.4">
      <c r="C468" s="9"/>
      <c r="D468" s="17"/>
      <c r="E468" s="9"/>
      <c r="F468" s="17"/>
      <c r="G468" s="70"/>
    </row>
    <row r="469" spans="3:17" ht="18" customHeight="1" x14ac:dyDescent="0.4">
      <c r="C469" s="9"/>
      <c r="D469" s="17"/>
      <c r="E469" s="9"/>
      <c r="F469" s="17"/>
      <c r="G469" s="70"/>
    </row>
    <row r="472" spans="3:17" ht="18" customHeight="1" x14ac:dyDescent="0.4">
      <c r="O472" s="10"/>
      <c r="P472" s="10"/>
      <c r="Q472" s="10"/>
    </row>
    <row r="473" spans="3:17" ht="18" customHeight="1" x14ac:dyDescent="0.4">
      <c r="O473" s="10"/>
      <c r="P473" s="10"/>
      <c r="Q473" s="10"/>
    </row>
    <row r="474" spans="3:17" ht="18" customHeight="1" x14ac:dyDescent="0.4">
      <c r="O474" s="10"/>
      <c r="P474" s="10"/>
      <c r="Q474" s="10"/>
    </row>
    <row r="475" spans="3:17" ht="18" customHeight="1" x14ac:dyDescent="0.4">
      <c r="O475" s="10"/>
      <c r="P475" s="10"/>
      <c r="Q475" s="10"/>
    </row>
    <row r="476" spans="3:17" ht="18" customHeight="1" x14ac:dyDescent="0.4">
      <c r="O476" s="53"/>
      <c r="P476" s="53"/>
      <c r="Q476" s="53"/>
    </row>
    <row r="478" spans="3:17" ht="18" customHeight="1" x14ac:dyDescent="0.4">
      <c r="O478" s="50"/>
      <c r="P478" s="50"/>
      <c r="Q478" s="50"/>
    </row>
    <row r="479" spans="3:17" ht="18" customHeight="1" x14ac:dyDescent="0.4">
      <c r="O479" s="50"/>
      <c r="P479" s="50"/>
      <c r="Q479" s="50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I148"/>
  <sheetViews>
    <sheetView zoomScale="80" zoomScaleNormal="80" workbookViewId="0">
      <pane xSplit="14" ySplit="13" topLeftCell="O14" activePane="bottomRight" state="frozen"/>
      <selection pane="topRight" activeCell="O1" sqref="O1"/>
      <selection pane="bottomLeft" activeCell="A14" sqref="A14"/>
      <selection pane="bottomRight"/>
    </sheetView>
  </sheetViews>
  <sheetFormatPr defaultColWidth="23.77734375" defaultRowHeight="13.2" x14ac:dyDescent="0.25"/>
  <cols>
    <col min="1" max="1" width="24.5546875" style="299" customWidth="1"/>
    <col min="2" max="2" width="23.77734375" style="300" customWidth="1"/>
    <col min="3" max="3" width="23.77734375" style="298" customWidth="1"/>
    <col min="4" max="5" width="10.21875" style="298" customWidth="1"/>
    <col min="6" max="6" width="2.77734375" customWidth="1"/>
    <col min="7" max="7" width="12.77734375" style="298" customWidth="1"/>
    <col min="8" max="8" width="17.77734375" style="298" customWidth="1"/>
    <col min="9" max="10" width="13.77734375" style="299" customWidth="1"/>
    <col min="11" max="12" width="15.77734375" style="299" customWidth="1"/>
    <col min="13" max="13" width="12.21875" style="299" customWidth="1"/>
    <col min="14" max="14" width="2.77734375" customWidth="1"/>
    <col min="15" max="15" width="9.77734375" style="298" customWidth="1"/>
    <col min="16" max="16" width="12.77734375" style="298" customWidth="1"/>
    <col min="17" max="17" width="17.77734375" style="298" customWidth="1"/>
    <col min="18" max="18" width="17.77734375" style="299" customWidth="1"/>
    <col min="19" max="20" width="13.77734375" style="299" customWidth="1"/>
    <col min="21" max="22" width="14.77734375" style="299" customWidth="1"/>
    <col min="23" max="23" width="9.77734375" style="298" customWidth="1"/>
    <col min="24" max="24" width="12.77734375" style="298" customWidth="1"/>
    <col min="25" max="25" width="17.77734375" style="298" customWidth="1"/>
    <col min="26" max="26" width="17.77734375" style="299" customWidth="1"/>
    <col min="27" max="28" width="13.77734375" style="299" customWidth="1"/>
    <col min="29" max="30" width="14.77734375" style="299" customWidth="1"/>
    <col min="31" max="31" width="9.77734375" style="298" customWidth="1"/>
    <col min="32" max="32" width="12.77734375" style="298" customWidth="1"/>
    <col min="33" max="33" width="17.77734375" style="298" customWidth="1"/>
    <col min="34" max="34" width="17.77734375" style="299" customWidth="1"/>
    <col min="35" max="36" width="13.77734375" style="299" customWidth="1"/>
    <col min="37" max="38" width="14.77734375" style="299" customWidth="1"/>
    <col min="39" max="39" width="9.77734375" style="298" customWidth="1"/>
    <col min="40" max="40" width="12.77734375" style="298" customWidth="1"/>
    <col min="41" max="41" width="17.77734375" style="298" customWidth="1"/>
    <col min="42" max="42" width="17.77734375" style="299" customWidth="1"/>
    <col min="43" max="44" width="13.77734375" style="299" customWidth="1"/>
    <col min="45" max="46" width="14.77734375" style="299" customWidth="1"/>
    <col min="47" max="47" width="2.77734375" style="299" customWidth="1"/>
    <col min="53" max="16384" width="23.77734375" style="299"/>
  </cols>
  <sheetData>
    <row r="1" spans="1:47" ht="41.4" customHeight="1" thickBot="1" x14ac:dyDescent="0.3">
      <c r="A1" s="447" t="s">
        <v>744</v>
      </c>
      <c r="B1" s="448" t="s">
        <v>648</v>
      </c>
      <c r="C1" s="448" t="s">
        <v>648</v>
      </c>
      <c r="D1" s="448" t="s">
        <v>650</v>
      </c>
      <c r="E1" s="449" t="s">
        <v>650</v>
      </c>
      <c r="F1" s="479"/>
      <c r="G1" s="447" t="s">
        <v>618</v>
      </c>
      <c r="H1" s="354" t="s">
        <v>749</v>
      </c>
      <c r="I1" s="354" t="s">
        <v>750</v>
      </c>
      <c r="J1" s="354" t="s">
        <v>751</v>
      </c>
      <c r="K1" s="354" t="s">
        <v>752</v>
      </c>
      <c r="L1" s="354" t="s">
        <v>634</v>
      </c>
      <c r="M1" s="355" t="s">
        <v>635</v>
      </c>
      <c r="N1" s="479"/>
      <c r="O1" s="379">
        <f>IF(SUM(Q2:R2)&lt;1,0,1)</f>
        <v>1</v>
      </c>
      <c r="P1" s="354" t="s">
        <v>618</v>
      </c>
      <c r="Q1" s="354" t="s">
        <v>749</v>
      </c>
      <c r="R1" s="354" t="s">
        <v>750</v>
      </c>
      <c r="S1" s="354" t="s">
        <v>751</v>
      </c>
      <c r="T1" s="354" t="s">
        <v>752</v>
      </c>
      <c r="U1" s="354" t="s">
        <v>634</v>
      </c>
      <c r="V1" s="355" t="s">
        <v>635</v>
      </c>
      <c r="W1" s="379">
        <f>IF(SUM(Y2:Z2)&lt;1,0,1)</f>
        <v>1</v>
      </c>
      <c r="X1" s="354" t="s">
        <v>618</v>
      </c>
      <c r="Y1" s="354" t="s">
        <v>749</v>
      </c>
      <c r="Z1" s="354" t="s">
        <v>750</v>
      </c>
      <c r="AA1" s="354" t="s">
        <v>751</v>
      </c>
      <c r="AB1" s="354" t="s">
        <v>752</v>
      </c>
      <c r="AC1" s="354" t="s">
        <v>634</v>
      </c>
      <c r="AD1" s="355" t="s">
        <v>635</v>
      </c>
      <c r="AE1" s="379">
        <f>IF(SUM(AG2:AH2)&lt;1,0,1)</f>
        <v>1</v>
      </c>
      <c r="AF1" s="354" t="s">
        <v>618</v>
      </c>
      <c r="AG1" s="354" t="s">
        <v>749</v>
      </c>
      <c r="AH1" s="354" t="s">
        <v>750</v>
      </c>
      <c r="AI1" s="354" t="s">
        <v>751</v>
      </c>
      <c r="AJ1" s="354" t="s">
        <v>752</v>
      </c>
      <c r="AK1" s="354" t="s">
        <v>634</v>
      </c>
      <c r="AL1" s="355" t="s">
        <v>635</v>
      </c>
      <c r="AM1" s="379">
        <f>IF(SUM(AO2:AP2)&lt;1,0,1)</f>
        <v>1</v>
      </c>
      <c r="AN1" s="354" t="s">
        <v>618</v>
      </c>
      <c r="AO1" s="354" t="s">
        <v>749</v>
      </c>
      <c r="AP1" s="354" t="s">
        <v>750</v>
      </c>
      <c r="AQ1" s="354" t="s">
        <v>751</v>
      </c>
      <c r="AR1" s="354" t="s">
        <v>752</v>
      </c>
      <c r="AS1" s="354" t="s">
        <v>634</v>
      </c>
      <c r="AT1" s="355" t="s">
        <v>635</v>
      </c>
      <c r="AU1" s="483"/>
    </row>
    <row r="2" spans="1:47" ht="24" customHeight="1" thickTop="1" thickBot="1" x14ac:dyDescent="0.3">
      <c r="A2" s="450" t="s">
        <v>651</v>
      </c>
      <c r="B2" s="443" t="s">
        <v>652</v>
      </c>
      <c r="C2" s="443" t="s">
        <v>453</v>
      </c>
      <c r="D2" s="443" t="s">
        <v>652</v>
      </c>
      <c r="E2" s="451" t="s">
        <v>453</v>
      </c>
      <c r="F2" s="479"/>
      <c r="G2" s="548">
        <v>13</v>
      </c>
      <c r="H2" s="495">
        <f>100%*G11</f>
        <v>1</v>
      </c>
      <c r="I2" s="496">
        <f>100%*H11</f>
        <v>0</v>
      </c>
      <c r="J2" s="357">
        <v>100</v>
      </c>
      <c r="K2" s="357">
        <v>100</v>
      </c>
      <c r="L2" s="358">
        <f>(J2*K2)*H2</f>
        <v>10000</v>
      </c>
      <c r="M2" s="359">
        <f>(J2*K2)*I2</f>
        <v>0</v>
      </c>
      <c r="N2" s="479"/>
      <c r="O2" s="380">
        <f>IF(SUM(Q2:R2)&gt;2,1,0)</f>
        <v>0</v>
      </c>
      <c r="P2" s="494">
        <v>13</v>
      </c>
      <c r="Q2" s="495">
        <v>1</v>
      </c>
      <c r="R2" s="496">
        <v>0</v>
      </c>
      <c r="S2" s="357">
        <v>100</v>
      </c>
      <c r="T2" s="357">
        <v>100</v>
      </c>
      <c r="U2" s="358">
        <f>(S2*T2)*Q2</f>
        <v>10000</v>
      </c>
      <c r="V2" s="359">
        <f>(S2*T2)*R2</f>
        <v>0</v>
      </c>
      <c r="W2" s="380">
        <f>IF(SUM(Y2:Z2)&gt;2,1,0)</f>
        <v>0</v>
      </c>
      <c r="X2" s="401">
        <v>13</v>
      </c>
      <c r="Y2" s="356">
        <v>0</v>
      </c>
      <c r="Z2" s="356">
        <v>1</v>
      </c>
      <c r="AA2" s="357">
        <v>100</v>
      </c>
      <c r="AB2" s="357">
        <v>100</v>
      </c>
      <c r="AC2" s="358">
        <f>(AA2*AB2)*Y2</f>
        <v>0</v>
      </c>
      <c r="AD2" s="358">
        <f>(AA2*AB2)*Z2</f>
        <v>10000</v>
      </c>
      <c r="AE2" s="380">
        <f>IF(SUM(AG2:AH2)&gt;2,1,0)</f>
        <v>0</v>
      </c>
      <c r="AF2" s="401">
        <v>13</v>
      </c>
      <c r="AG2" s="356">
        <v>1</v>
      </c>
      <c r="AH2" s="356">
        <v>0</v>
      </c>
      <c r="AI2" s="357">
        <v>100</v>
      </c>
      <c r="AJ2" s="357">
        <v>100</v>
      </c>
      <c r="AK2" s="358">
        <f>(AI2*AJ2)*AG2</f>
        <v>10000</v>
      </c>
      <c r="AL2" s="359">
        <f>(AI2*AJ2)*AH2</f>
        <v>0</v>
      </c>
      <c r="AM2" s="380">
        <f>IF(SUM(AO2:AP2)&gt;2,1,0)</f>
        <v>0</v>
      </c>
      <c r="AN2" s="401">
        <v>13</v>
      </c>
      <c r="AO2" s="356">
        <v>0</v>
      </c>
      <c r="AP2" s="356">
        <v>1</v>
      </c>
      <c r="AQ2" s="357">
        <v>100</v>
      </c>
      <c r="AR2" s="357">
        <v>100</v>
      </c>
      <c r="AS2" s="358">
        <f>(AQ2*AR2)*AO2</f>
        <v>0</v>
      </c>
      <c r="AT2" s="359">
        <f>(AQ2*AR2)*AP2</f>
        <v>10000</v>
      </c>
      <c r="AU2" s="484"/>
    </row>
    <row r="3" spans="1:47" ht="14.4" customHeight="1" thickTop="1" x14ac:dyDescent="0.25">
      <c r="A3" s="447" t="s">
        <v>745</v>
      </c>
      <c r="B3" s="455">
        <f>IF(B12=1,S2,0)</f>
        <v>100</v>
      </c>
      <c r="C3" s="455">
        <f>IF(C12=1,AA2,0)</f>
        <v>0</v>
      </c>
      <c r="D3" s="455">
        <f>IF(D12=1,AI2,0)</f>
        <v>0</v>
      </c>
      <c r="E3" s="461">
        <f>IF(E12=1,AQ2,0)</f>
        <v>0</v>
      </c>
      <c r="F3" s="479"/>
      <c r="G3" s="549"/>
      <c r="H3" s="358"/>
      <c r="M3" s="359"/>
      <c r="N3" s="479"/>
      <c r="O3" s="380"/>
      <c r="P3" s="497" t="s">
        <v>662</v>
      </c>
      <c r="Q3" s="497"/>
      <c r="R3" s="497"/>
      <c r="S3" s="358"/>
      <c r="T3" s="358"/>
      <c r="U3" s="358"/>
      <c r="V3" s="359"/>
      <c r="W3" s="380"/>
      <c r="X3" s="497" t="s">
        <v>662</v>
      </c>
      <c r="Y3" s="497"/>
      <c r="Z3" s="497"/>
      <c r="AA3" s="358"/>
      <c r="AB3" s="358"/>
      <c r="AC3" s="358"/>
      <c r="AD3" s="358"/>
      <c r="AE3" s="380"/>
      <c r="AF3" s="358"/>
      <c r="AG3" s="358"/>
      <c r="AH3" s="358"/>
      <c r="AI3" s="358"/>
      <c r="AJ3" s="358"/>
      <c r="AK3" s="358"/>
      <c r="AL3" s="359"/>
      <c r="AM3" s="380"/>
      <c r="AN3" s="358"/>
      <c r="AO3" s="358"/>
      <c r="AP3" s="358"/>
      <c r="AQ3" s="358"/>
      <c r="AR3" s="358"/>
      <c r="AS3" s="358"/>
      <c r="AT3" s="359"/>
      <c r="AU3" s="484"/>
    </row>
    <row r="4" spans="1:47" ht="14.4" customHeight="1" x14ac:dyDescent="0.25">
      <c r="A4" s="450" t="s">
        <v>746</v>
      </c>
      <c r="B4" s="456">
        <f>IF(B12=1,T2,0)</f>
        <v>100</v>
      </c>
      <c r="C4" s="456">
        <f>IF(C12=1,AB2,0)</f>
        <v>0</v>
      </c>
      <c r="D4" s="456">
        <f>IF(D12=1,AJ2,0)</f>
        <v>0</v>
      </c>
      <c r="E4" s="462">
        <f>IF(E12=1,AR2,0)</f>
        <v>0</v>
      </c>
      <c r="F4" s="479"/>
      <c r="G4" s="549"/>
      <c r="H4" s="358"/>
      <c r="M4" s="359"/>
      <c r="N4" s="479"/>
      <c r="O4" s="380"/>
      <c r="P4" s="358"/>
      <c r="Q4" s="358"/>
      <c r="R4" s="358"/>
      <c r="S4" s="358"/>
      <c r="T4" s="358"/>
      <c r="U4" s="358"/>
      <c r="V4" s="359"/>
      <c r="W4" s="380"/>
      <c r="X4" s="358"/>
      <c r="Y4" s="358"/>
      <c r="Z4" s="358"/>
      <c r="AA4" s="358"/>
      <c r="AB4" s="358"/>
      <c r="AC4" s="358"/>
      <c r="AD4" s="358"/>
      <c r="AE4" s="380"/>
      <c r="AF4" s="358"/>
      <c r="AG4" s="358"/>
      <c r="AH4" s="358"/>
      <c r="AI4" s="358"/>
      <c r="AJ4" s="358"/>
      <c r="AK4" s="358"/>
      <c r="AL4" s="359"/>
      <c r="AM4" s="380"/>
      <c r="AN4" s="358"/>
      <c r="AO4" s="358"/>
      <c r="AP4" s="358"/>
      <c r="AQ4" s="358"/>
      <c r="AR4" s="358"/>
      <c r="AS4" s="358"/>
      <c r="AT4" s="359"/>
      <c r="AU4" s="484"/>
    </row>
    <row r="5" spans="1:47" ht="14.4" customHeight="1" x14ac:dyDescent="0.25">
      <c r="A5" s="450" t="s">
        <v>747</v>
      </c>
      <c r="B5" s="456">
        <f>IF(B12=1,S2*T2,0)</f>
        <v>10000</v>
      </c>
      <c r="C5" s="456">
        <f>IF(C12=1,AA2*AB2,0)</f>
        <v>0</v>
      </c>
      <c r="D5" s="456">
        <f>IF(D12=1,AI2*AJ2,0)</f>
        <v>0</v>
      </c>
      <c r="E5" s="462">
        <f>IF(E12=1,AQ2*AR2,0)</f>
        <v>0</v>
      </c>
      <c r="F5" s="479"/>
      <c r="G5" s="549"/>
      <c r="H5" s="358"/>
      <c r="M5" s="359"/>
      <c r="N5" s="479"/>
      <c r="O5" s="380"/>
      <c r="P5" s="358"/>
      <c r="Q5" s="358"/>
      <c r="R5" s="358"/>
      <c r="S5" s="358"/>
      <c r="T5" s="358"/>
      <c r="U5" s="358"/>
      <c r="V5" s="359"/>
      <c r="W5" s="380"/>
      <c r="X5" s="358"/>
      <c r="Y5" s="358"/>
      <c r="Z5" s="358"/>
      <c r="AA5" s="358"/>
      <c r="AB5" s="358"/>
      <c r="AC5" s="358"/>
      <c r="AD5" s="358"/>
      <c r="AE5" s="380"/>
      <c r="AF5" s="358"/>
      <c r="AG5" s="358"/>
      <c r="AH5" s="358"/>
      <c r="AI5" s="358"/>
      <c r="AJ5" s="358"/>
      <c r="AK5" s="358"/>
      <c r="AL5" s="359"/>
      <c r="AM5" s="380"/>
      <c r="AN5" s="358"/>
      <c r="AO5" s="358"/>
      <c r="AP5" s="358"/>
      <c r="AQ5" s="358"/>
      <c r="AR5" s="358"/>
      <c r="AS5" s="358"/>
      <c r="AT5" s="359"/>
      <c r="AU5" s="484"/>
    </row>
    <row r="6" spans="1:47" ht="14.4" customHeight="1" x14ac:dyDescent="0.25">
      <c r="A6" s="450" t="s">
        <v>628</v>
      </c>
      <c r="B6" s="456">
        <f>IF(B12=1,U2,0)</f>
        <v>10000</v>
      </c>
      <c r="C6" s="456">
        <f>IF(C12=1,AC2,0)</f>
        <v>0</v>
      </c>
      <c r="D6" s="456">
        <f>IF(D12=1,AK2,0)</f>
        <v>0</v>
      </c>
      <c r="E6" s="462">
        <f>IF(E12=1,AS2,0)</f>
        <v>0</v>
      </c>
      <c r="F6" s="479"/>
      <c r="G6" s="549"/>
      <c r="H6" s="358"/>
      <c r="M6" s="359"/>
      <c r="N6" s="479"/>
      <c r="O6" s="380"/>
      <c r="P6" s="358"/>
      <c r="Q6" s="358"/>
      <c r="R6" s="358"/>
      <c r="S6" s="358"/>
      <c r="T6" s="358"/>
      <c r="U6" s="358"/>
      <c r="V6" s="359"/>
      <c r="W6" s="380"/>
      <c r="X6" s="358"/>
      <c r="Y6" s="358"/>
      <c r="Z6" s="358"/>
      <c r="AA6" s="358"/>
      <c r="AB6" s="358"/>
      <c r="AC6" s="358"/>
      <c r="AD6" s="358"/>
      <c r="AE6" s="380"/>
      <c r="AF6" s="358"/>
      <c r="AG6" s="358"/>
      <c r="AH6" s="358"/>
      <c r="AI6" s="358"/>
      <c r="AJ6" s="358"/>
      <c r="AK6" s="358"/>
      <c r="AL6" s="359"/>
      <c r="AM6" s="380"/>
      <c r="AN6" s="358"/>
      <c r="AO6" s="358"/>
      <c r="AP6" s="358"/>
      <c r="AQ6" s="358"/>
      <c r="AR6" s="358"/>
      <c r="AS6" s="358"/>
      <c r="AT6" s="359"/>
      <c r="AU6" s="484"/>
    </row>
    <row r="7" spans="1:47" ht="14.4" customHeight="1" x14ac:dyDescent="0.25">
      <c r="A7" s="450" t="s">
        <v>656</v>
      </c>
      <c r="B7" s="456">
        <f>IF(B12=1,V2,0)</f>
        <v>0</v>
      </c>
      <c r="C7" s="456">
        <f>IF(C12=1,AD2,0)</f>
        <v>0</v>
      </c>
      <c r="D7" s="456">
        <f>IF(D12=1,AL2,0)</f>
        <v>0</v>
      </c>
      <c r="E7" s="462">
        <f>IF(E12=1,AT2,0)</f>
        <v>0</v>
      </c>
      <c r="F7" s="479"/>
      <c r="G7" s="549"/>
      <c r="H7" s="358"/>
      <c r="M7" s="359"/>
      <c r="N7" s="479"/>
      <c r="O7" s="380"/>
      <c r="P7" s="358"/>
      <c r="Q7" s="358"/>
      <c r="R7" s="358"/>
      <c r="S7" s="358"/>
      <c r="T7" s="358"/>
      <c r="U7" s="358"/>
      <c r="V7" s="359"/>
      <c r="W7" s="380"/>
      <c r="X7" s="358"/>
      <c r="Y7" s="358"/>
      <c r="Z7" s="358"/>
      <c r="AA7" s="358"/>
      <c r="AB7" s="358"/>
      <c r="AC7" s="358"/>
      <c r="AD7" s="358"/>
      <c r="AE7" s="380"/>
      <c r="AF7" s="358"/>
      <c r="AG7" s="358"/>
      <c r="AH7" s="358"/>
      <c r="AI7" s="358"/>
      <c r="AJ7" s="358"/>
      <c r="AK7" s="358"/>
      <c r="AL7" s="359"/>
      <c r="AM7" s="380"/>
      <c r="AN7" s="358"/>
      <c r="AO7" s="358"/>
      <c r="AP7" s="358"/>
      <c r="AQ7" s="358"/>
      <c r="AR7" s="358"/>
      <c r="AS7" s="358"/>
      <c r="AT7" s="359"/>
      <c r="AU7" s="484"/>
    </row>
    <row r="8" spans="1:47" ht="14.4" customHeight="1" x14ac:dyDescent="0.25">
      <c r="A8" s="450" t="s">
        <v>653</v>
      </c>
      <c r="B8" s="456">
        <f>IF(B12=1,R101*(U2/43560),0)</f>
        <v>2.9843893480257115</v>
      </c>
      <c r="C8" s="456">
        <f>IF(C12=1,Z101*(AC2/43560),0)</f>
        <v>0</v>
      </c>
      <c r="D8" s="463">
        <f>IF(D12=1,AH101*(AK2/43560),0)</f>
        <v>0</v>
      </c>
      <c r="E8" s="464">
        <f>IF(E12=1,AP101*(AS2/43560),0)</f>
        <v>0</v>
      </c>
      <c r="F8" s="479"/>
      <c r="G8" s="549"/>
      <c r="H8" s="358"/>
      <c r="M8" s="359"/>
      <c r="N8" s="479"/>
      <c r="O8" s="380"/>
      <c r="P8" s="358"/>
      <c r="Q8" s="358"/>
      <c r="R8" s="358"/>
      <c r="S8" s="358"/>
      <c r="T8" s="358"/>
      <c r="U8" s="358"/>
      <c r="V8" s="359"/>
      <c r="W8" s="380"/>
      <c r="X8" s="358"/>
      <c r="Y8" s="358"/>
      <c r="Z8" s="358"/>
      <c r="AA8" s="358"/>
      <c r="AB8" s="358"/>
      <c r="AC8" s="358"/>
      <c r="AD8" s="358"/>
      <c r="AE8" s="380"/>
      <c r="AF8" s="358"/>
      <c r="AG8" s="358"/>
      <c r="AH8" s="358"/>
      <c r="AI8" s="358"/>
      <c r="AJ8" s="358"/>
      <c r="AK8" s="358"/>
      <c r="AL8" s="359"/>
      <c r="AM8" s="380"/>
      <c r="AN8" s="358"/>
      <c r="AO8" s="358"/>
      <c r="AP8" s="358"/>
      <c r="AQ8" s="358"/>
      <c r="AR8" s="358"/>
      <c r="AS8" s="358"/>
      <c r="AT8" s="359"/>
      <c r="AU8" s="484"/>
    </row>
    <row r="9" spans="1:47" ht="14.4" customHeight="1" thickBot="1" x14ac:dyDescent="0.3">
      <c r="A9" s="450" t="s">
        <v>619</v>
      </c>
      <c r="B9" s="458">
        <f>IF(B12=1,S101,0)</f>
        <v>130.44744525547446</v>
      </c>
      <c r="C9" s="458">
        <f>IF(C12=1,AA101,0)</f>
        <v>0</v>
      </c>
      <c r="D9" s="458">
        <f>IF(D12=1,AI101,0)</f>
        <v>0</v>
      </c>
      <c r="E9" s="465">
        <f>IF(E12=1,AQ101,0)</f>
        <v>0</v>
      </c>
      <c r="F9" s="479"/>
      <c r="G9" s="549"/>
      <c r="H9" s="358"/>
      <c r="M9" s="359"/>
      <c r="N9" s="479"/>
      <c r="O9" s="380"/>
      <c r="P9" s="358"/>
      <c r="Q9" s="358"/>
      <c r="R9" s="358"/>
      <c r="S9" s="358"/>
      <c r="T9" s="358"/>
      <c r="U9" s="358"/>
      <c r="V9" s="359"/>
      <c r="W9" s="380"/>
      <c r="X9" s="358"/>
      <c r="Y9" s="358"/>
      <c r="Z9" s="358"/>
      <c r="AA9" s="358"/>
      <c r="AB9" s="358"/>
      <c r="AC9" s="358"/>
      <c r="AD9" s="358"/>
      <c r="AE9" s="380"/>
      <c r="AF9" s="358"/>
      <c r="AG9" s="358"/>
      <c r="AH9" s="358"/>
      <c r="AI9" s="358"/>
      <c r="AJ9" s="358"/>
      <c r="AK9" s="358"/>
      <c r="AL9" s="359"/>
      <c r="AM9" s="380"/>
      <c r="AN9" s="358"/>
      <c r="AO9" s="358"/>
      <c r="AP9" s="358"/>
      <c r="AQ9" s="358"/>
      <c r="AR9" s="358"/>
      <c r="AS9" s="358"/>
      <c r="AT9" s="359"/>
      <c r="AU9" s="484"/>
    </row>
    <row r="10" spans="1:47" ht="14.4" customHeight="1" thickBot="1" x14ac:dyDescent="0.3">
      <c r="A10" s="450" t="s">
        <v>654</v>
      </c>
      <c r="B10" s="456">
        <f>IF(B12=1,T101*V2,0)</f>
        <v>0</v>
      </c>
      <c r="C10" s="456">
        <f>IF(C12=1,AB101*AD2,0)</f>
        <v>0</v>
      </c>
      <c r="D10" s="456">
        <f>IF(D12=1,AJ101*AL2,0)</f>
        <v>0</v>
      </c>
      <c r="E10" s="462">
        <f>IF(E12=1,AR101*AT2,0)</f>
        <v>0</v>
      </c>
      <c r="F10" s="479"/>
      <c r="G10" s="557" t="s">
        <v>675</v>
      </c>
      <c r="H10" s="558" t="s">
        <v>676</v>
      </c>
      <c r="M10" s="359"/>
      <c r="N10" s="479"/>
      <c r="O10" s="380"/>
      <c r="P10" s="358"/>
      <c r="Q10" s="358"/>
      <c r="R10" s="358"/>
      <c r="S10" s="358"/>
      <c r="T10" s="358"/>
      <c r="U10" s="358"/>
      <c r="V10" s="359"/>
      <c r="W10" s="380"/>
      <c r="X10" s="358"/>
      <c r="Y10" s="358"/>
      <c r="Z10" s="358"/>
      <c r="AA10" s="358"/>
      <c r="AB10" s="358"/>
      <c r="AC10" s="358"/>
      <c r="AD10" s="358"/>
      <c r="AE10" s="380"/>
      <c r="AF10" s="358"/>
      <c r="AG10" s="358"/>
      <c r="AH10" s="358"/>
      <c r="AI10" s="358"/>
      <c r="AJ10" s="358"/>
      <c r="AK10" s="358"/>
      <c r="AL10" s="359"/>
      <c r="AM10" s="380"/>
      <c r="AN10" s="358"/>
      <c r="AO10" s="358"/>
      <c r="AP10" s="358"/>
      <c r="AQ10" s="358"/>
      <c r="AR10" s="358"/>
      <c r="AS10" s="358"/>
      <c r="AT10" s="359"/>
      <c r="AU10" s="484"/>
    </row>
    <row r="11" spans="1:47" ht="30.6" customHeight="1" thickBot="1" x14ac:dyDescent="0.3">
      <c r="A11" s="452" t="s">
        <v>622</v>
      </c>
      <c r="B11" s="459">
        <f>IF(B12=1,V101,0)</f>
        <v>0</v>
      </c>
      <c r="C11" s="459">
        <f>IF(C12=1,AD101,0)</f>
        <v>0</v>
      </c>
      <c r="D11" s="459">
        <f>IF(D12=1,AL101,0)</f>
        <v>0</v>
      </c>
      <c r="E11" s="466">
        <f>IF(E12=1,AT101,0)</f>
        <v>0</v>
      </c>
      <c r="F11" s="479"/>
      <c r="G11" s="555">
        <v>1</v>
      </c>
      <c r="H11" s="556">
        <f>IF(G11=1,0,1)</f>
        <v>0</v>
      </c>
      <c r="I11" s="358"/>
      <c r="J11" s="358"/>
      <c r="M11" s="359"/>
      <c r="N11" s="479"/>
      <c r="O11" s="506" t="s">
        <v>663</v>
      </c>
      <c r="P11" s="501"/>
      <c r="Q11" s="501"/>
      <c r="R11" s="501"/>
      <c r="S11" s="502"/>
      <c r="T11" s="358"/>
      <c r="U11" s="358"/>
      <c r="V11" s="359"/>
      <c r="W11" s="506" t="s">
        <v>663</v>
      </c>
      <c r="X11" s="501"/>
      <c r="Y11" s="501"/>
      <c r="Z11" s="501"/>
      <c r="AA11" s="502"/>
      <c r="AB11" s="358"/>
      <c r="AC11" s="358"/>
      <c r="AD11" s="358"/>
      <c r="AE11" s="380"/>
      <c r="AF11" s="358"/>
      <c r="AG11" s="358"/>
      <c r="AH11" s="358"/>
      <c r="AI11" s="358"/>
      <c r="AJ11" s="358"/>
      <c r="AK11" s="358"/>
      <c r="AL11" s="359"/>
      <c r="AM11" s="380"/>
      <c r="AN11" s="358"/>
      <c r="AO11" s="358"/>
      <c r="AP11" s="358"/>
      <c r="AQ11" s="358"/>
      <c r="AR11" s="358"/>
      <c r="AS11" s="358"/>
      <c r="AT11" s="359"/>
      <c r="AU11" s="484"/>
    </row>
    <row r="12" spans="1:47" ht="25.2" thickBot="1" x14ac:dyDescent="0.3">
      <c r="A12" s="452" t="s">
        <v>647</v>
      </c>
      <c r="B12" s="453">
        <v>1</v>
      </c>
      <c r="C12" s="453">
        <v>0</v>
      </c>
      <c r="D12" s="453">
        <v>0</v>
      </c>
      <c r="E12" s="454">
        <v>0</v>
      </c>
      <c r="F12" s="479"/>
      <c r="G12" s="550"/>
      <c r="H12" s="542" t="str">
        <f>IF(H2&gt;1,"% Seed CANNOT exceed 100%!"," ")</f>
        <v xml:space="preserve"> </v>
      </c>
      <c r="I12" s="543" t="s">
        <v>748</v>
      </c>
      <c r="M12" s="363"/>
      <c r="N12" s="479"/>
      <c r="O12" s="368"/>
      <c r="P12" s="498"/>
      <c r="Q12" s="499" t="str">
        <f>IF(Q2&gt;1,"% Seed CANNOT exceed 100%!"," ")</f>
        <v xml:space="preserve"> </v>
      </c>
      <c r="R12" s="500" t="str">
        <f>IF(R2&gt;1,"% Seedling CANNOT exceed 100%!"," ")</f>
        <v xml:space="preserve"> </v>
      </c>
      <c r="S12" s="503"/>
      <c r="T12" s="505" t="str">
        <f>IF(SUM(O1:O2)=0,"% Seedling and % Seedling must SUM to 100%!"," ")</f>
        <v xml:space="preserve"> </v>
      </c>
      <c r="U12" s="362"/>
      <c r="V12" s="363"/>
      <c r="W12" s="368"/>
      <c r="X12" s="369"/>
      <c r="Y12" s="377" t="str">
        <f>IF(Y2&gt;1,"% Seed CANNOT exceed 100%!"," ")</f>
        <v xml:space="preserve"> </v>
      </c>
      <c r="Z12" s="378" t="str">
        <f>IF(Z2&gt;1,"% Seedling CANNOT exceed 100%!"," ")</f>
        <v xml:space="preserve"> </v>
      </c>
      <c r="AA12" s="362"/>
      <c r="AB12" s="378" t="str">
        <f>IF(SUM(W1:W2)=0,"% Seedling and % Seedling must SUM to 100%!"," ")</f>
        <v xml:space="preserve"> </v>
      </c>
      <c r="AC12" s="362"/>
      <c r="AD12" s="362"/>
      <c r="AE12" s="368"/>
      <c r="AF12" s="369"/>
      <c r="AG12" s="377" t="str">
        <f>IF(AG2&gt;1,"% Seed CANNOT exceed 100%!"," ")</f>
        <v xml:space="preserve"> </v>
      </c>
      <c r="AH12" s="378" t="str">
        <f>IF(AH2&gt;1,"% Seedling CANNOT exceed 100%!"," ")</f>
        <v xml:space="preserve"> </v>
      </c>
      <c r="AI12" s="362"/>
      <c r="AJ12" s="378" t="str">
        <f>IF(SUM(AE1:AE2)=0,"% Seedling and % Seedling must SUM to 100%!"," ")</f>
        <v xml:space="preserve"> </v>
      </c>
      <c r="AK12" s="362"/>
      <c r="AL12" s="363"/>
      <c r="AM12" s="368"/>
      <c r="AN12" s="369"/>
      <c r="AO12" s="377" t="str">
        <f>IF(AO2&gt;1,"% Seed CANNOT exceed 100%!"," ")</f>
        <v xml:space="preserve"> </v>
      </c>
      <c r="AP12" s="378" t="str">
        <f>IF(AP2&gt;1,"% Seedling CANNOT exceed 100%!"," ")</f>
        <v xml:space="preserve"> </v>
      </c>
      <c r="AQ12" s="362"/>
      <c r="AR12" s="378" t="str">
        <f>IF(SUM(AM1:AM2)=0,"% Seedling and % Seedling must SUM to 100%!"," ")</f>
        <v xml:space="preserve"> </v>
      </c>
      <c r="AS12" s="362"/>
      <c r="AT12" s="363"/>
      <c r="AU12" s="480"/>
    </row>
    <row r="13" spans="1:47" s="334" customFormat="1" ht="44.4" customHeight="1" thickBot="1" x14ac:dyDescent="0.3">
      <c r="A13" s="444" t="s">
        <v>620</v>
      </c>
      <c r="B13" s="445" t="s">
        <v>539</v>
      </c>
      <c r="C13" s="446" t="s">
        <v>540</v>
      </c>
      <c r="D13" s="446" t="s">
        <v>649</v>
      </c>
      <c r="E13" s="446" t="s">
        <v>627</v>
      </c>
      <c r="F13" s="444"/>
      <c r="G13" s="551" t="s">
        <v>673</v>
      </c>
      <c r="H13" s="544" t="s">
        <v>674</v>
      </c>
      <c r="I13" s="375" t="s">
        <v>618</v>
      </c>
      <c r="J13" s="375" t="s">
        <v>619</v>
      </c>
      <c r="K13" s="375" t="s">
        <v>621</v>
      </c>
      <c r="L13" s="375" t="s">
        <v>623</v>
      </c>
      <c r="M13" s="376" t="s">
        <v>622</v>
      </c>
      <c r="N13" s="541"/>
      <c r="O13" s="437" t="s">
        <v>629</v>
      </c>
      <c r="P13" s="438" t="s">
        <v>632</v>
      </c>
      <c r="Q13" s="439" t="s">
        <v>633</v>
      </c>
      <c r="R13" s="375" t="s">
        <v>618</v>
      </c>
      <c r="S13" s="402" t="s">
        <v>619</v>
      </c>
      <c r="T13" s="504" t="s">
        <v>621</v>
      </c>
      <c r="U13" s="375" t="s">
        <v>623</v>
      </c>
      <c r="V13" s="376" t="s">
        <v>622</v>
      </c>
      <c r="W13" s="437" t="s">
        <v>629</v>
      </c>
      <c r="X13" s="438" t="s">
        <v>632</v>
      </c>
      <c r="Y13" s="439" t="s">
        <v>631</v>
      </c>
      <c r="Z13" s="375" t="s">
        <v>618</v>
      </c>
      <c r="AA13" s="402" t="s">
        <v>619</v>
      </c>
      <c r="AB13" s="375" t="s">
        <v>621</v>
      </c>
      <c r="AC13" s="375" t="s">
        <v>623</v>
      </c>
      <c r="AD13" s="375" t="s">
        <v>622</v>
      </c>
      <c r="AE13" s="440" t="s">
        <v>630</v>
      </c>
      <c r="AF13" s="442" t="s">
        <v>645</v>
      </c>
      <c r="AG13" s="441" t="s">
        <v>646</v>
      </c>
      <c r="AH13" s="375" t="s">
        <v>618</v>
      </c>
      <c r="AI13" s="402" t="s">
        <v>619</v>
      </c>
      <c r="AJ13" s="375" t="s">
        <v>621</v>
      </c>
      <c r="AK13" s="375" t="s">
        <v>623</v>
      </c>
      <c r="AL13" s="376" t="s">
        <v>622</v>
      </c>
      <c r="AM13" s="440" t="s">
        <v>630</v>
      </c>
      <c r="AN13" s="442" t="s">
        <v>645</v>
      </c>
      <c r="AO13" s="441" t="s">
        <v>646</v>
      </c>
      <c r="AP13" s="375" t="s">
        <v>618</v>
      </c>
      <c r="AQ13" s="375" t="s">
        <v>619</v>
      </c>
      <c r="AR13" s="375" t="s">
        <v>621</v>
      </c>
      <c r="AS13" s="375" t="s">
        <v>623</v>
      </c>
      <c r="AT13" s="376" t="s">
        <v>622</v>
      </c>
      <c r="AU13" s="375"/>
    </row>
    <row r="14" spans="1:47" ht="15.75" customHeight="1" thickTop="1" thickBot="1" x14ac:dyDescent="0.3">
      <c r="A14" s="299" t="s">
        <v>624</v>
      </c>
      <c r="B14" s="423" t="s">
        <v>541</v>
      </c>
      <c r="C14" s="297" t="s">
        <v>542</v>
      </c>
      <c r="D14" s="325">
        <v>1</v>
      </c>
      <c r="E14" s="325">
        <v>0</v>
      </c>
      <c r="F14" s="479"/>
      <c r="G14" s="552">
        <f>IF($G$11=1,P14,0)</f>
        <v>0.08</v>
      </c>
      <c r="H14" s="370"/>
      <c r="I14" s="399">
        <f>$G$2*G14</f>
        <v>1.04</v>
      </c>
      <c r="J14" s="403">
        <v>225</v>
      </c>
      <c r="K14" s="419">
        <v>0</v>
      </c>
      <c r="L14" s="373">
        <f>K14*(43560*H14)</f>
        <v>0</v>
      </c>
      <c r="M14" s="374" t="s">
        <v>136</v>
      </c>
      <c r="N14" s="479"/>
      <c r="O14" s="341" t="s">
        <v>543</v>
      </c>
      <c r="P14" s="404">
        <v>0.08</v>
      </c>
      <c r="Q14" s="370"/>
      <c r="R14" s="399">
        <f>$P$2*P14</f>
        <v>1.04</v>
      </c>
      <c r="S14" s="403">
        <v>225</v>
      </c>
      <c r="T14" s="419">
        <v>0</v>
      </c>
      <c r="U14" s="373">
        <f>T14*(43560*Q14)</f>
        <v>0</v>
      </c>
      <c r="V14" s="374" t="s">
        <v>136</v>
      </c>
      <c r="W14" s="341" t="s">
        <v>543</v>
      </c>
      <c r="X14" s="404">
        <v>0</v>
      </c>
      <c r="Y14" s="370"/>
      <c r="Z14" s="399">
        <v>0</v>
      </c>
      <c r="AA14" s="403">
        <v>225</v>
      </c>
      <c r="AB14" s="419">
        <v>0</v>
      </c>
      <c r="AC14" s="373">
        <f>AB14*(43560*Y14)</f>
        <v>0</v>
      </c>
      <c r="AD14" s="374" t="s">
        <v>136</v>
      </c>
      <c r="AE14" s="341"/>
      <c r="AF14" s="303"/>
      <c r="AG14" s="370"/>
      <c r="AH14" s="339">
        <v>0</v>
      </c>
      <c r="AI14" s="328">
        <v>225</v>
      </c>
      <c r="AJ14" s="419">
        <v>0</v>
      </c>
      <c r="AK14" s="373">
        <f>AJ14*(43560*AG14)</f>
        <v>0</v>
      </c>
      <c r="AL14" s="374" t="s">
        <v>136</v>
      </c>
      <c r="AM14" s="341"/>
      <c r="AN14" s="303"/>
      <c r="AO14" s="370"/>
      <c r="AP14" s="339">
        <v>0</v>
      </c>
      <c r="AQ14" s="328">
        <v>225</v>
      </c>
      <c r="AR14" s="419">
        <v>0</v>
      </c>
      <c r="AS14" s="373">
        <f>AR14*(43560*AO14)</f>
        <v>0</v>
      </c>
      <c r="AT14" s="374" t="s">
        <v>136</v>
      </c>
      <c r="AU14" s="485"/>
    </row>
    <row r="15" spans="1:47" ht="15.75" customHeight="1" thickTop="1" thickBot="1" x14ac:dyDescent="0.3">
      <c r="A15" s="299" t="s">
        <v>624</v>
      </c>
      <c r="B15" s="423" t="s">
        <v>541</v>
      </c>
      <c r="C15" s="297" t="s">
        <v>542</v>
      </c>
      <c r="D15" s="325">
        <v>1</v>
      </c>
      <c r="E15" s="325">
        <v>1</v>
      </c>
      <c r="F15" s="479"/>
      <c r="G15" s="341"/>
      <c r="H15" s="370"/>
      <c r="I15" s="400" t="s">
        <v>136</v>
      </c>
      <c r="J15" s="400" t="s">
        <v>136</v>
      </c>
      <c r="K15" s="336">
        <v>0</v>
      </c>
      <c r="L15" s="309">
        <f t="shared" ref="L15:L78" si="0">K15*(43560*H15)</f>
        <v>0</v>
      </c>
      <c r="M15" s="349">
        <v>1.1299999999999999</v>
      </c>
      <c r="N15" s="479"/>
      <c r="O15" s="341" t="s">
        <v>543</v>
      </c>
      <c r="P15" s="303"/>
      <c r="Q15" s="370"/>
      <c r="R15" s="400" t="s">
        <v>136</v>
      </c>
      <c r="S15" s="400" t="s">
        <v>136</v>
      </c>
      <c r="T15" s="336">
        <v>0</v>
      </c>
      <c r="U15" s="309">
        <f t="shared" ref="U15:U69" si="1">T15*(43560*Q15)</f>
        <v>0</v>
      </c>
      <c r="V15" s="329">
        <v>1.1299999999999999</v>
      </c>
      <c r="W15" s="341"/>
      <c r="X15" s="303"/>
      <c r="Y15" s="370"/>
      <c r="Z15" s="400" t="s">
        <v>136</v>
      </c>
      <c r="AA15" s="400" t="s">
        <v>136</v>
      </c>
      <c r="AB15" s="509">
        <v>1</v>
      </c>
      <c r="AC15" s="309">
        <f t="shared" ref="AC15:AC69" si="2">AB15*(43560*Y15)</f>
        <v>0</v>
      </c>
      <c r="AD15" s="329">
        <v>1.1299999999999999</v>
      </c>
      <c r="AE15" s="341"/>
      <c r="AF15" s="303"/>
      <c r="AG15" s="370"/>
      <c r="AH15" s="426" t="s">
        <v>136</v>
      </c>
      <c r="AI15" s="400" t="s">
        <v>136</v>
      </c>
      <c r="AJ15" s="336">
        <v>0</v>
      </c>
      <c r="AK15" s="309">
        <f t="shared" ref="AK15:AK74" si="3">AJ15*(43560*AG15)</f>
        <v>0</v>
      </c>
      <c r="AL15" s="329">
        <v>1.1299999999999999</v>
      </c>
      <c r="AM15" s="341"/>
      <c r="AN15" s="303"/>
      <c r="AO15" s="370"/>
      <c r="AP15" s="426" t="s">
        <v>136</v>
      </c>
      <c r="AQ15" s="400" t="s">
        <v>136</v>
      </c>
      <c r="AR15" s="336">
        <v>0</v>
      </c>
      <c r="AS15" s="309">
        <f t="shared" ref="AS15:AS74" si="4">AR15*(43560*AO15)</f>
        <v>0</v>
      </c>
      <c r="AT15" s="329">
        <v>1.1299999999999999</v>
      </c>
      <c r="AU15" s="486"/>
    </row>
    <row r="16" spans="1:47" ht="15.75" customHeight="1" thickTop="1" thickBot="1" x14ac:dyDescent="0.3">
      <c r="A16" s="299" t="s">
        <v>624</v>
      </c>
      <c r="B16" s="423" t="s">
        <v>544</v>
      </c>
      <c r="C16" s="297" t="s">
        <v>545</v>
      </c>
      <c r="D16" s="325">
        <v>1</v>
      </c>
      <c r="E16" s="325">
        <v>0</v>
      </c>
      <c r="F16" s="479"/>
      <c r="G16" s="341"/>
      <c r="H16" s="370"/>
      <c r="I16" s="327" t="s">
        <v>136</v>
      </c>
      <c r="J16" s="515" t="s">
        <v>136</v>
      </c>
      <c r="K16" s="331">
        <v>0</v>
      </c>
      <c r="L16" s="309">
        <f t="shared" si="0"/>
        <v>0</v>
      </c>
      <c r="M16" s="350" t="s">
        <v>136</v>
      </c>
      <c r="N16" s="479"/>
      <c r="O16" s="341"/>
      <c r="P16" s="303"/>
      <c r="Q16" s="370"/>
      <c r="R16" s="327" t="s">
        <v>136</v>
      </c>
      <c r="S16" s="515" t="s">
        <v>136</v>
      </c>
      <c r="T16" s="331">
        <v>0</v>
      </c>
      <c r="U16" s="309">
        <f t="shared" si="1"/>
        <v>0</v>
      </c>
      <c r="V16" s="350" t="s">
        <v>136</v>
      </c>
      <c r="W16" s="341"/>
      <c r="X16" s="303"/>
      <c r="Y16" s="370"/>
      <c r="Z16" s="327" t="s">
        <v>136</v>
      </c>
      <c r="AA16" s="515" t="s">
        <v>136</v>
      </c>
      <c r="AB16" s="331">
        <v>0</v>
      </c>
      <c r="AC16" s="309">
        <f t="shared" si="2"/>
        <v>0</v>
      </c>
      <c r="AD16" s="350" t="s">
        <v>136</v>
      </c>
      <c r="AE16" s="341"/>
      <c r="AF16" s="303"/>
      <c r="AG16" s="370"/>
      <c r="AH16" s="427" t="s">
        <v>136</v>
      </c>
      <c r="AI16" s="515" t="s">
        <v>136</v>
      </c>
      <c r="AJ16" s="331">
        <v>0</v>
      </c>
      <c r="AK16" s="309">
        <f t="shared" si="3"/>
        <v>0</v>
      </c>
      <c r="AL16" s="350" t="s">
        <v>136</v>
      </c>
      <c r="AM16" s="341"/>
      <c r="AN16" s="303"/>
      <c r="AO16" s="370"/>
      <c r="AP16" s="427" t="s">
        <v>136</v>
      </c>
      <c r="AQ16" s="515" t="s">
        <v>136</v>
      </c>
      <c r="AR16" s="331">
        <v>0</v>
      </c>
      <c r="AS16" s="309">
        <f t="shared" si="4"/>
        <v>0</v>
      </c>
      <c r="AT16" s="350" t="s">
        <v>136</v>
      </c>
      <c r="AU16" s="486"/>
    </row>
    <row r="17" spans="1:47" ht="15.75" customHeight="1" thickTop="1" thickBot="1" x14ac:dyDescent="0.3">
      <c r="A17" s="299" t="s">
        <v>624</v>
      </c>
      <c r="B17" s="423" t="s">
        <v>544</v>
      </c>
      <c r="C17" s="297" t="s">
        <v>545</v>
      </c>
      <c r="D17" s="325">
        <v>1</v>
      </c>
      <c r="E17" s="325">
        <v>1</v>
      </c>
      <c r="F17" s="479"/>
      <c r="G17" s="341"/>
      <c r="H17" s="370"/>
      <c r="I17" s="511" t="s">
        <v>136</v>
      </c>
      <c r="J17" s="337" t="s">
        <v>136</v>
      </c>
      <c r="K17" s="508">
        <v>0.44</v>
      </c>
      <c r="L17" s="309">
        <f t="shared" si="0"/>
        <v>0</v>
      </c>
      <c r="M17" s="537">
        <v>1.07</v>
      </c>
      <c r="N17" s="479"/>
      <c r="O17" s="341"/>
      <c r="P17" s="303"/>
      <c r="Q17" s="370"/>
      <c r="R17" s="511" t="s">
        <v>136</v>
      </c>
      <c r="S17" s="337" t="s">
        <v>136</v>
      </c>
      <c r="T17" s="508">
        <v>0.44</v>
      </c>
      <c r="U17" s="309">
        <f t="shared" si="1"/>
        <v>0</v>
      </c>
      <c r="V17" s="530">
        <v>1.07</v>
      </c>
      <c r="W17" s="341"/>
      <c r="X17" s="303"/>
      <c r="Y17" s="370"/>
      <c r="Z17" s="365" t="s">
        <v>136</v>
      </c>
      <c r="AA17" s="337" t="s">
        <v>136</v>
      </c>
      <c r="AB17" s="508">
        <v>0.44</v>
      </c>
      <c r="AC17" s="309">
        <f t="shared" si="2"/>
        <v>0</v>
      </c>
      <c r="AD17" s="530">
        <v>1.07</v>
      </c>
      <c r="AE17" s="341"/>
      <c r="AF17" s="303"/>
      <c r="AG17" s="370"/>
      <c r="AH17" s="365" t="s">
        <v>136</v>
      </c>
      <c r="AI17" s="337" t="s">
        <v>136</v>
      </c>
      <c r="AJ17" s="338">
        <v>0</v>
      </c>
      <c r="AK17" s="309">
        <f t="shared" si="3"/>
        <v>0</v>
      </c>
      <c r="AL17" s="530">
        <v>1.07</v>
      </c>
      <c r="AM17" s="341"/>
      <c r="AN17" s="303"/>
      <c r="AO17" s="370"/>
      <c r="AP17" s="365" t="s">
        <v>136</v>
      </c>
      <c r="AQ17" s="337" t="s">
        <v>136</v>
      </c>
      <c r="AR17" s="338">
        <v>0</v>
      </c>
      <c r="AS17" s="309">
        <f t="shared" si="4"/>
        <v>0</v>
      </c>
      <c r="AT17" s="530">
        <v>1.07</v>
      </c>
      <c r="AU17" s="487"/>
    </row>
    <row r="18" spans="1:47" ht="15.75" customHeight="1" thickTop="1" thickBot="1" x14ac:dyDescent="0.3">
      <c r="A18" s="299" t="s">
        <v>624</v>
      </c>
      <c r="B18" s="423" t="s">
        <v>546</v>
      </c>
      <c r="C18" s="296" t="s">
        <v>658</v>
      </c>
      <c r="D18" s="325">
        <v>1</v>
      </c>
      <c r="E18" s="325">
        <v>0</v>
      </c>
      <c r="F18" s="479"/>
      <c r="G18" s="342"/>
      <c r="H18" s="371"/>
      <c r="I18" s="533">
        <v>0</v>
      </c>
      <c r="J18" s="333">
        <v>300</v>
      </c>
      <c r="K18" s="330">
        <v>0</v>
      </c>
      <c r="L18" s="309">
        <f t="shared" si="0"/>
        <v>0</v>
      </c>
      <c r="M18" s="351" t="s">
        <v>136</v>
      </c>
      <c r="N18" s="479"/>
      <c r="O18" s="342"/>
      <c r="P18" s="306"/>
      <c r="Q18" s="371"/>
      <c r="R18" s="533">
        <v>0</v>
      </c>
      <c r="S18" s="333">
        <v>300</v>
      </c>
      <c r="T18" s="330">
        <v>0</v>
      </c>
      <c r="U18" s="309">
        <f t="shared" si="1"/>
        <v>0</v>
      </c>
      <c r="V18" s="351" t="s">
        <v>136</v>
      </c>
      <c r="W18" s="342"/>
      <c r="X18" s="306"/>
      <c r="Y18" s="371"/>
      <c r="Z18" s="533">
        <v>0</v>
      </c>
      <c r="AA18" s="333">
        <v>300</v>
      </c>
      <c r="AB18" s="330">
        <v>0</v>
      </c>
      <c r="AC18" s="309">
        <f t="shared" si="2"/>
        <v>0</v>
      </c>
      <c r="AD18" s="351" t="s">
        <v>136</v>
      </c>
      <c r="AE18" s="341" t="s">
        <v>543</v>
      </c>
      <c r="AF18" s="404">
        <v>0.08</v>
      </c>
      <c r="AG18" s="370"/>
      <c r="AH18" s="424">
        <f>$AF$2*AF18</f>
        <v>1.04</v>
      </c>
      <c r="AI18" s="410">
        <v>300</v>
      </c>
      <c r="AJ18" s="330">
        <v>0</v>
      </c>
      <c r="AK18" s="309">
        <f t="shared" si="3"/>
        <v>0</v>
      </c>
      <c r="AL18" s="351" t="s">
        <v>136</v>
      </c>
      <c r="AM18" s="341" t="s">
        <v>543</v>
      </c>
      <c r="AN18" s="303"/>
      <c r="AO18" s="370"/>
      <c r="AP18" s="330">
        <v>0</v>
      </c>
      <c r="AQ18" s="333" t="s">
        <v>136</v>
      </c>
      <c r="AR18" s="330">
        <v>0</v>
      </c>
      <c r="AS18" s="309">
        <f t="shared" si="4"/>
        <v>0</v>
      </c>
      <c r="AT18" s="351" t="s">
        <v>136</v>
      </c>
      <c r="AU18" s="486"/>
    </row>
    <row r="19" spans="1:47" ht="15.75" customHeight="1" thickTop="1" thickBot="1" x14ac:dyDescent="0.3">
      <c r="A19" s="299" t="s">
        <v>624</v>
      </c>
      <c r="B19" s="423" t="s">
        <v>546</v>
      </c>
      <c r="C19" s="296" t="s">
        <v>658</v>
      </c>
      <c r="D19" s="325">
        <v>1</v>
      </c>
      <c r="E19" s="325">
        <v>1</v>
      </c>
      <c r="F19" s="479"/>
      <c r="G19" s="342"/>
      <c r="H19" s="371"/>
      <c r="I19" s="333" t="s">
        <v>136</v>
      </c>
      <c r="J19" s="333" t="s">
        <v>136</v>
      </c>
      <c r="K19" s="507">
        <v>0.25</v>
      </c>
      <c r="L19" s="309">
        <f t="shared" si="0"/>
        <v>0</v>
      </c>
      <c r="M19" s="351">
        <v>1.21</v>
      </c>
      <c r="N19" s="479"/>
      <c r="O19" s="342"/>
      <c r="P19" s="306"/>
      <c r="Q19" s="371"/>
      <c r="R19" s="333" t="s">
        <v>136</v>
      </c>
      <c r="S19" s="333" t="s">
        <v>136</v>
      </c>
      <c r="T19" s="507">
        <v>0.25</v>
      </c>
      <c r="U19" s="309">
        <f t="shared" si="1"/>
        <v>0</v>
      </c>
      <c r="V19" s="333">
        <v>1.21</v>
      </c>
      <c r="W19" s="342"/>
      <c r="X19" s="306"/>
      <c r="Y19" s="371"/>
      <c r="Z19" s="333" t="s">
        <v>136</v>
      </c>
      <c r="AA19" s="333" t="s">
        <v>136</v>
      </c>
      <c r="AB19" s="507">
        <v>0.25</v>
      </c>
      <c r="AC19" s="309">
        <f t="shared" si="2"/>
        <v>0</v>
      </c>
      <c r="AD19" s="333">
        <v>1.21</v>
      </c>
      <c r="AE19" s="341" t="s">
        <v>543</v>
      </c>
      <c r="AF19" s="303"/>
      <c r="AG19" s="370"/>
      <c r="AH19" s="367" t="s">
        <v>136</v>
      </c>
      <c r="AI19" s="333" t="s">
        <v>136</v>
      </c>
      <c r="AJ19" s="507">
        <v>0.44</v>
      </c>
      <c r="AK19" s="309">
        <f t="shared" si="3"/>
        <v>0</v>
      </c>
      <c r="AL19" s="333">
        <v>1.21</v>
      </c>
      <c r="AM19" s="341" t="s">
        <v>543</v>
      </c>
      <c r="AN19" s="303"/>
      <c r="AO19" s="404">
        <v>0.1</v>
      </c>
      <c r="AP19" s="367" t="s">
        <v>136</v>
      </c>
      <c r="AQ19" s="333" t="s">
        <v>136</v>
      </c>
      <c r="AR19" s="525">
        <v>0.44</v>
      </c>
      <c r="AS19" s="309">
        <f t="shared" si="4"/>
        <v>1916.64</v>
      </c>
      <c r="AT19" s="422">
        <v>1.21</v>
      </c>
      <c r="AU19" s="488"/>
    </row>
    <row r="20" spans="1:47" ht="15.75" customHeight="1" thickTop="1" thickBot="1" x14ac:dyDescent="0.3">
      <c r="A20" s="299" t="s">
        <v>624</v>
      </c>
      <c r="B20" s="423" t="s">
        <v>601</v>
      </c>
      <c r="C20" s="297" t="s">
        <v>661</v>
      </c>
      <c r="D20" s="325">
        <v>1</v>
      </c>
      <c r="E20" s="325">
        <v>0</v>
      </c>
      <c r="F20" s="479"/>
      <c r="G20" s="552">
        <f>IF($G$11=1,P20,0)</f>
        <v>0.08</v>
      </c>
      <c r="H20" s="370"/>
      <c r="I20" s="399">
        <f>$G$2*G20</f>
        <v>1.04</v>
      </c>
      <c r="J20" s="403">
        <v>300</v>
      </c>
      <c r="K20" s="339">
        <v>0</v>
      </c>
      <c r="L20" s="309">
        <f t="shared" si="0"/>
        <v>0</v>
      </c>
      <c r="M20" s="348" t="s">
        <v>136</v>
      </c>
      <c r="N20" s="479"/>
      <c r="O20" s="341" t="s">
        <v>664</v>
      </c>
      <c r="P20" s="404">
        <v>0.08</v>
      </c>
      <c r="Q20" s="370"/>
      <c r="R20" s="519">
        <f>$P$2*P20</f>
        <v>1.04</v>
      </c>
      <c r="S20" s="403">
        <v>300</v>
      </c>
      <c r="T20" s="339">
        <v>0</v>
      </c>
      <c r="U20" s="309">
        <f t="shared" si="1"/>
        <v>0</v>
      </c>
      <c r="V20" s="348" t="s">
        <v>136</v>
      </c>
      <c r="W20" s="341"/>
      <c r="X20" s="303"/>
      <c r="Y20" s="370"/>
      <c r="Z20" s="417" t="s">
        <v>136</v>
      </c>
      <c r="AA20" s="328">
        <v>300</v>
      </c>
      <c r="AB20" s="339">
        <v>0</v>
      </c>
      <c r="AC20" s="309">
        <f t="shared" si="2"/>
        <v>0</v>
      </c>
      <c r="AD20" s="348" t="s">
        <v>136</v>
      </c>
      <c r="AE20" s="341"/>
      <c r="AF20" s="303"/>
      <c r="AG20" s="370"/>
      <c r="AH20" s="416" t="s">
        <v>136</v>
      </c>
      <c r="AI20" s="328">
        <v>300</v>
      </c>
      <c r="AJ20" s="339">
        <v>0</v>
      </c>
      <c r="AK20" s="309">
        <f t="shared" si="3"/>
        <v>0</v>
      </c>
      <c r="AL20" s="348" t="s">
        <v>136</v>
      </c>
      <c r="AM20" s="341"/>
      <c r="AN20" s="303"/>
      <c r="AO20" s="370"/>
      <c r="AP20" s="416" t="s">
        <v>136</v>
      </c>
      <c r="AQ20" s="328">
        <v>300</v>
      </c>
      <c r="AR20" s="339">
        <v>0</v>
      </c>
      <c r="AS20" s="309">
        <f t="shared" si="4"/>
        <v>0</v>
      </c>
      <c r="AT20" s="348" t="s">
        <v>136</v>
      </c>
      <c r="AU20" s="486"/>
    </row>
    <row r="21" spans="1:47" ht="15.75" customHeight="1" thickTop="1" x14ac:dyDescent="0.25">
      <c r="A21" s="299" t="s">
        <v>624</v>
      </c>
      <c r="B21" s="423" t="s">
        <v>601</v>
      </c>
      <c r="C21" s="297" t="s">
        <v>661</v>
      </c>
      <c r="D21" s="325">
        <v>1</v>
      </c>
      <c r="E21" s="325">
        <v>1</v>
      </c>
      <c r="F21" s="479"/>
      <c r="G21" s="341"/>
      <c r="H21" s="370"/>
      <c r="I21" s="511" t="s">
        <v>136</v>
      </c>
      <c r="J21" s="337" t="s">
        <v>136</v>
      </c>
      <c r="K21" s="508">
        <v>0.25</v>
      </c>
      <c r="L21" s="309">
        <f t="shared" si="0"/>
        <v>0</v>
      </c>
      <c r="M21" s="537">
        <v>1.21</v>
      </c>
      <c r="N21" s="479"/>
      <c r="O21" s="341"/>
      <c r="P21" s="303"/>
      <c r="Q21" s="370"/>
      <c r="R21" s="511" t="s">
        <v>136</v>
      </c>
      <c r="S21" s="337" t="s">
        <v>136</v>
      </c>
      <c r="T21" s="508">
        <v>0.25</v>
      </c>
      <c r="U21" s="309">
        <f t="shared" si="1"/>
        <v>0</v>
      </c>
      <c r="V21" s="530">
        <v>1.21</v>
      </c>
      <c r="W21" s="341" t="s">
        <v>664</v>
      </c>
      <c r="X21" s="303"/>
      <c r="Y21" s="370"/>
      <c r="Z21" s="365" t="s">
        <v>136</v>
      </c>
      <c r="AA21" s="337" t="s">
        <v>136</v>
      </c>
      <c r="AB21" s="508">
        <v>0.25</v>
      </c>
      <c r="AC21" s="309">
        <f t="shared" si="2"/>
        <v>0</v>
      </c>
      <c r="AD21" s="530">
        <v>1.21</v>
      </c>
      <c r="AE21" s="341"/>
      <c r="AF21" s="303"/>
      <c r="AG21" s="370"/>
      <c r="AH21" s="365" t="s">
        <v>136</v>
      </c>
      <c r="AI21" s="337" t="s">
        <v>136</v>
      </c>
      <c r="AJ21" s="338">
        <v>0</v>
      </c>
      <c r="AK21" s="309">
        <f t="shared" si="3"/>
        <v>0</v>
      </c>
      <c r="AL21" s="530">
        <v>1.21</v>
      </c>
      <c r="AM21" s="341"/>
      <c r="AN21" s="303"/>
      <c r="AO21" s="370"/>
      <c r="AP21" s="365" t="s">
        <v>136</v>
      </c>
      <c r="AQ21" s="337" t="s">
        <v>136</v>
      </c>
      <c r="AR21" s="338">
        <v>0</v>
      </c>
      <c r="AS21" s="309">
        <f t="shared" si="4"/>
        <v>0</v>
      </c>
      <c r="AT21" s="530">
        <v>1.21</v>
      </c>
      <c r="AU21" s="487"/>
    </row>
    <row r="22" spans="1:47" ht="15.75" customHeight="1" thickBot="1" x14ac:dyDescent="0.3">
      <c r="A22" s="299" t="s">
        <v>624</v>
      </c>
      <c r="B22" s="423" t="s">
        <v>547</v>
      </c>
      <c r="C22" s="297" t="s">
        <v>660</v>
      </c>
      <c r="D22" s="325">
        <v>1</v>
      </c>
      <c r="E22" s="325">
        <v>0</v>
      </c>
      <c r="F22" s="479"/>
      <c r="G22" s="341"/>
      <c r="H22" s="370"/>
      <c r="I22" s="327" t="s">
        <v>136</v>
      </c>
      <c r="J22" s="327">
        <v>600</v>
      </c>
      <c r="K22" s="517">
        <v>0</v>
      </c>
      <c r="L22" s="309">
        <f t="shared" si="0"/>
        <v>0</v>
      </c>
      <c r="M22" s="350" t="s">
        <v>136</v>
      </c>
      <c r="N22" s="479"/>
      <c r="O22" s="341"/>
      <c r="P22" s="303"/>
      <c r="Q22" s="370"/>
      <c r="R22" s="327" t="s">
        <v>136</v>
      </c>
      <c r="S22" s="327">
        <v>600</v>
      </c>
      <c r="T22" s="517">
        <v>0</v>
      </c>
      <c r="U22" s="309">
        <f t="shared" si="1"/>
        <v>0</v>
      </c>
      <c r="V22" s="350" t="s">
        <v>136</v>
      </c>
      <c r="W22" s="341"/>
      <c r="X22" s="303"/>
      <c r="Y22" s="370"/>
      <c r="Z22" s="327" t="s">
        <v>136</v>
      </c>
      <c r="AA22" s="327">
        <v>600</v>
      </c>
      <c r="AB22" s="517">
        <v>0</v>
      </c>
      <c r="AC22" s="309">
        <f t="shared" si="2"/>
        <v>0</v>
      </c>
      <c r="AD22" s="350" t="s">
        <v>136</v>
      </c>
      <c r="AE22" s="341"/>
      <c r="AF22" s="303"/>
      <c r="AG22" s="370"/>
      <c r="AH22" s="427" t="s">
        <v>136</v>
      </c>
      <c r="AI22" s="327">
        <v>600</v>
      </c>
      <c r="AJ22" s="407">
        <v>0</v>
      </c>
      <c r="AK22" s="309">
        <f t="shared" si="3"/>
        <v>0</v>
      </c>
      <c r="AL22" s="350" t="s">
        <v>136</v>
      </c>
      <c r="AM22" s="341"/>
      <c r="AN22" s="303"/>
      <c r="AO22" s="370"/>
      <c r="AP22" s="427" t="s">
        <v>136</v>
      </c>
      <c r="AQ22" s="327">
        <v>600</v>
      </c>
      <c r="AR22" s="407">
        <v>0</v>
      </c>
      <c r="AS22" s="309">
        <f t="shared" si="4"/>
        <v>0</v>
      </c>
      <c r="AT22" s="350" t="s">
        <v>136</v>
      </c>
      <c r="AU22" s="486"/>
    </row>
    <row r="23" spans="1:47" ht="15.75" customHeight="1" thickTop="1" thickBot="1" x14ac:dyDescent="0.3">
      <c r="A23" s="299" t="s">
        <v>624</v>
      </c>
      <c r="B23" s="423" t="s">
        <v>547</v>
      </c>
      <c r="C23" s="297" t="s">
        <v>660</v>
      </c>
      <c r="D23" s="325">
        <v>1</v>
      </c>
      <c r="E23" s="325">
        <v>1</v>
      </c>
      <c r="F23" s="479"/>
      <c r="G23" s="552">
        <f>IF($G$11=1,P23,0)</f>
        <v>0</v>
      </c>
      <c r="H23" s="404">
        <f>IF($H$11=1,Y23,0)</f>
        <v>0</v>
      </c>
      <c r="I23" s="511" t="s">
        <v>136</v>
      </c>
      <c r="J23" s="512" t="s">
        <v>136</v>
      </c>
      <c r="K23" s="493">
        <v>0.25</v>
      </c>
      <c r="L23" s="518">
        <f t="shared" si="0"/>
        <v>0</v>
      </c>
      <c r="M23" s="420">
        <v>1.21</v>
      </c>
      <c r="N23" s="479"/>
      <c r="O23" s="341" t="s">
        <v>664</v>
      </c>
      <c r="P23" s="404">
        <v>0</v>
      </c>
      <c r="Q23" s="404">
        <v>0</v>
      </c>
      <c r="R23" s="511" t="s">
        <v>136</v>
      </c>
      <c r="S23" s="512" t="s">
        <v>136</v>
      </c>
      <c r="T23" s="493">
        <v>0.25</v>
      </c>
      <c r="U23" s="518">
        <f t="shared" si="1"/>
        <v>0</v>
      </c>
      <c r="V23" s="420">
        <v>1.21</v>
      </c>
      <c r="W23" s="341" t="s">
        <v>664</v>
      </c>
      <c r="X23" s="306"/>
      <c r="Y23" s="404">
        <v>0.1</v>
      </c>
      <c r="Z23" s="365" t="s">
        <v>136</v>
      </c>
      <c r="AA23" s="512" t="s">
        <v>136</v>
      </c>
      <c r="AB23" s="493">
        <v>0.25</v>
      </c>
      <c r="AC23" s="406">
        <f t="shared" si="2"/>
        <v>1089</v>
      </c>
      <c r="AD23" s="415">
        <v>1.21</v>
      </c>
      <c r="AE23" s="341"/>
      <c r="AF23" s="303"/>
      <c r="AG23" s="370"/>
      <c r="AH23" s="365" t="s">
        <v>136</v>
      </c>
      <c r="AI23" s="512" t="s">
        <v>136</v>
      </c>
      <c r="AJ23" s="338">
        <v>0</v>
      </c>
      <c r="AK23" s="406">
        <f t="shared" si="3"/>
        <v>0</v>
      </c>
      <c r="AL23" s="530">
        <v>1.21</v>
      </c>
      <c r="AM23" s="341"/>
      <c r="AN23" s="303"/>
      <c r="AO23" s="370"/>
      <c r="AP23" s="365" t="s">
        <v>136</v>
      </c>
      <c r="AQ23" s="512" t="s">
        <v>136</v>
      </c>
      <c r="AR23" s="338">
        <v>0</v>
      </c>
      <c r="AS23" s="406">
        <f t="shared" si="4"/>
        <v>0</v>
      </c>
      <c r="AT23" s="530">
        <v>1.21</v>
      </c>
      <c r="AU23" s="487"/>
    </row>
    <row r="24" spans="1:47" ht="15.75" customHeight="1" thickTop="1" x14ac:dyDescent="0.25">
      <c r="A24" s="299" t="s">
        <v>624</v>
      </c>
      <c r="B24" s="423" t="s">
        <v>602</v>
      </c>
      <c r="C24" s="299" t="s">
        <v>603</v>
      </c>
      <c r="D24" s="325">
        <v>1</v>
      </c>
      <c r="E24" s="325">
        <v>0</v>
      </c>
      <c r="F24" s="479"/>
      <c r="G24" s="341"/>
      <c r="H24" s="370"/>
      <c r="I24" s="327" t="s">
        <v>136</v>
      </c>
      <c r="J24" s="327">
        <v>225</v>
      </c>
      <c r="K24" s="408">
        <v>0</v>
      </c>
      <c r="L24" s="309">
        <f t="shared" si="0"/>
        <v>0</v>
      </c>
      <c r="M24" s="350" t="s">
        <v>136</v>
      </c>
      <c r="N24" s="479"/>
      <c r="O24" s="341"/>
      <c r="P24" s="303"/>
      <c r="Q24" s="370"/>
      <c r="R24" s="327" t="s">
        <v>136</v>
      </c>
      <c r="S24" s="327">
        <v>225</v>
      </c>
      <c r="T24" s="408">
        <v>0</v>
      </c>
      <c r="U24" s="309">
        <f t="shared" si="1"/>
        <v>0</v>
      </c>
      <c r="V24" s="350" t="s">
        <v>136</v>
      </c>
      <c r="W24" s="341"/>
      <c r="X24" s="303"/>
      <c r="Y24" s="370"/>
      <c r="Z24" s="327" t="s">
        <v>136</v>
      </c>
      <c r="AA24" s="327">
        <v>225</v>
      </c>
      <c r="AB24" s="408">
        <v>0</v>
      </c>
      <c r="AC24" s="309">
        <f t="shared" si="2"/>
        <v>0</v>
      </c>
      <c r="AD24" s="350" t="s">
        <v>136</v>
      </c>
      <c r="AE24" s="341"/>
      <c r="AF24" s="303"/>
      <c r="AG24" s="370"/>
      <c r="AH24" s="427" t="s">
        <v>136</v>
      </c>
      <c r="AI24" s="327">
        <v>225</v>
      </c>
      <c r="AJ24" s="408">
        <v>0</v>
      </c>
      <c r="AK24" s="309">
        <f t="shared" si="3"/>
        <v>0</v>
      </c>
      <c r="AL24" s="350" t="s">
        <v>136</v>
      </c>
      <c r="AM24" s="341"/>
      <c r="AN24" s="303"/>
      <c r="AO24" s="370"/>
      <c r="AP24" s="427" t="s">
        <v>136</v>
      </c>
      <c r="AQ24" s="327">
        <v>225</v>
      </c>
      <c r="AR24" s="408">
        <v>0</v>
      </c>
      <c r="AS24" s="309">
        <f t="shared" si="4"/>
        <v>0</v>
      </c>
      <c r="AT24" s="350" t="s">
        <v>136</v>
      </c>
      <c r="AU24" s="486"/>
    </row>
    <row r="25" spans="1:47" ht="15.75" customHeight="1" x14ac:dyDescent="0.25">
      <c r="A25" s="299" t="s">
        <v>624</v>
      </c>
      <c r="B25" s="423" t="s">
        <v>602</v>
      </c>
      <c r="C25" s="299" t="s">
        <v>603</v>
      </c>
      <c r="D25" s="325">
        <v>1</v>
      </c>
      <c r="E25" s="325">
        <v>1</v>
      </c>
      <c r="F25" s="479"/>
      <c r="G25" s="341"/>
      <c r="H25" s="370"/>
      <c r="I25" s="335" t="s">
        <v>136</v>
      </c>
      <c r="J25" s="335" t="s">
        <v>136</v>
      </c>
      <c r="K25" s="510">
        <v>0.25</v>
      </c>
      <c r="L25" s="309">
        <f t="shared" si="0"/>
        <v>0</v>
      </c>
      <c r="M25" s="349">
        <v>1.21</v>
      </c>
      <c r="N25" s="479"/>
      <c r="O25" s="341"/>
      <c r="P25" s="303"/>
      <c r="Q25" s="370"/>
      <c r="R25" s="335" t="s">
        <v>136</v>
      </c>
      <c r="S25" s="335" t="s">
        <v>136</v>
      </c>
      <c r="T25" s="510">
        <v>0.25</v>
      </c>
      <c r="U25" s="309">
        <f t="shared" si="1"/>
        <v>0</v>
      </c>
      <c r="V25" s="329">
        <v>1.21</v>
      </c>
      <c r="W25" s="341"/>
      <c r="X25" s="303"/>
      <c r="Y25" s="370"/>
      <c r="Z25" s="335" t="s">
        <v>136</v>
      </c>
      <c r="AA25" s="335" t="s">
        <v>136</v>
      </c>
      <c r="AB25" s="510">
        <v>0.25</v>
      </c>
      <c r="AC25" s="309">
        <f t="shared" si="2"/>
        <v>0</v>
      </c>
      <c r="AD25" s="329">
        <v>1.21</v>
      </c>
      <c r="AE25" s="341"/>
      <c r="AF25" s="303"/>
      <c r="AG25" s="370"/>
      <c r="AH25" s="364" t="s">
        <v>136</v>
      </c>
      <c r="AI25" s="335" t="s">
        <v>136</v>
      </c>
      <c r="AJ25" s="336">
        <v>0</v>
      </c>
      <c r="AK25" s="309">
        <f t="shared" si="3"/>
        <v>0</v>
      </c>
      <c r="AL25" s="329">
        <v>1.21</v>
      </c>
      <c r="AM25" s="341"/>
      <c r="AN25" s="303"/>
      <c r="AO25" s="370"/>
      <c r="AP25" s="364" t="s">
        <v>136</v>
      </c>
      <c r="AQ25" s="335" t="s">
        <v>136</v>
      </c>
      <c r="AR25" s="336">
        <v>0</v>
      </c>
      <c r="AS25" s="309">
        <f t="shared" si="4"/>
        <v>0</v>
      </c>
      <c r="AT25" s="329">
        <v>1.21</v>
      </c>
      <c r="AU25" s="486"/>
    </row>
    <row r="26" spans="1:47" ht="15.75" customHeight="1" x14ac:dyDescent="0.25">
      <c r="A26" s="299" t="s">
        <v>624</v>
      </c>
      <c r="B26" s="423" t="s">
        <v>548</v>
      </c>
      <c r="C26" s="299" t="s">
        <v>549</v>
      </c>
      <c r="D26" s="325">
        <v>1</v>
      </c>
      <c r="E26" s="325">
        <v>0</v>
      </c>
      <c r="F26" s="479"/>
      <c r="G26" s="341"/>
      <c r="H26" s="370"/>
      <c r="I26" s="327" t="s">
        <v>136</v>
      </c>
      <c r="J26" s="327" t="s">
        <v>136</v>
      </c>
      <c r="K26" s="331">
        <v>0</v>
      </c>
      <c r="L26" s="309">
        <f t="shared" si="0"/>
        <v>0</v>
      </c>
      <c r="M26" s="350" t="s">
        <v>136</v>
      </c>
      <c r="N26" s="479"/>
      <c r="O26" s="341"/>
      <c r="P26" s="303"/>
      <c r="Q26" s="370"/>
      <c r="R26" s="327" t="s">
        <v>136</v>
      </c>
      <c r="S26" s="327" t="s">
        <v>136</v>
      </c>
      <c r="T26" s="331">
        <v>0</v>
      </c>
      <c r="U26" s="309">
        <f t="shared" si="1"/>
        <v>0</v>
      </c>
      <c r="V26" s="350" t="s">
        <v>136</v>
      </c>
      <c r="W26" s="341"/>
      <c r="X26" s="303"/>
      <c r="Y26" s="370"/>
      <c r="Z26" s="327" t="s">
        <v>136</v>
      </c>
      <c r="AA26" s="327" t="s">
        <v>136</v>
      </c>
      <c r="AB26" s="331">
        <v>0</v>
      </c>
      <c r="AC26" s="309">
        <f t="shared" si="2"/>
        <v>0</v>
      </c>
      <c r="AD26" s="350" t="s">
        <v>136</v>
      </c>
      <c r="AE26" s="341"/>
      <c r="AF26" s="303"/>
      <c r="AG26" s="370"/>
      <c r="AH26" s="427" t="s">
        <v>136</v>
      </c>
      <c r="AI26" s="327" t="s">
        <v>136</v>
      </c>
      <c r="AJ26" s="331">
        <v>0</v>
      </c>
      <c r="AK26" s="309">
        <f t="shared" si="3"/>
        <v>0</v>
      </c>
      <c r="AL26" s="350" t="s">
        <v>136</v>
      </c>
      <c r="AM26" s="341"/>
      <c r="AN26" s="303"/>
      <c r="AO26" s="370"/>
      <c r="AP26" s="427" t="s">
        <v>136</v>
      </c>
      <c r="AQ26" s="327" t="s">
        <v>136</v>
      </c>
      <c r="AR26" s="331">
        <v>0</v>
      </c>
      <c r="AS26" s="309">
        <f t="shared" si="4"/>
        <v>0</v>
      </c>
      <c r="AT26" s="350" t="s">
        <v>136</v>
      </c>
      <c r="AU26" s="486"/>
    </row>
    <row r="27" spans="1:47" ht="15.75" customHeight="1" thickBot="1" x14ac:dyDescent="0.3">
      <c r="A27" s="299" t="s">
        <v>624</v>
      </c>
      <c r="B27" s="423" t="s">
        <v>548</v>
      </c>
      <c r="C27" s="299" t="s">
        <v>549</v>
      </c>
      <c r="D27" s="325">
        <v>1</v>
      </c>
      <c r="E27" s="325">
        <v>1</v>
      </c>
      <c r="F27" s="479"/>
      <c r="G27" s="341"/>
      <c r="H27" s="370"/>
      <c r="I27" s="335" t="s">
        <v>136</v>
      </c>
      <c r="J27" s="335" t="s">
        <v>136</v>
      </c>
      <c r="K27" s="510">
        <v>0.25</v>
      </c>
      <c r="L27" s="309">
        <f t="shared" si="0"/>
        <v>0</v>
      </c>
      <c r="M27" s="349">
        <v>1.21</v>
      </c>
      <c r="N27" s="479"/>
      <c r="O27" s="341"/>
      <c r="P27" s="303"/>
      <c r="Q27" s="370"/>
      <c r="R27" s="335" t="s">
        <v>136</v>
      </c>
      <c r="S27" s="335" t="s">
        <v>136</v>
      </c>
      <c r="T27" s="510">
        <v>0.25</v>
      </c>
      <c r="U27" s="309">
        <f t="shared" ref="U27" si="5">T27*(43560*Q27)</f>
        <v>0</v>
      </c>
      <c r="V27" s="329">
        <v>1.21</v>
      </c>
      <c r="W27" s="341"/>
      <c r="X27" s="303"/>
      <c r="Y27" s="370"/>
      <c r="Z27" s="335" t="s">
        <v>136</v>
      </c>
      <c r="AA27" s="335" t="s">
        <v>136</v>
      </c>
      <c r="AB27" s="510">
        <v>0.25</v>
      </c>
      <c r="AC27" s="309">
        <f t="shared" si="2"/>
        <v>0</v>
      </c>
      <c r="AD27" s="329">
        <v>1.21</v>
      </c>
      <c r="AE27" s="341"/>
      <c r="AF27" s="303"/>
      <c r="AG27" s="370"/>
      <c r="AH27" s="364" t="s">
        <v>136</v>
      </c>
      <c r="AI27" s="335" t="s">
        <v>136</v>
      </c>
      <c r="AJ27" s="336">
        <v>0</v>
      </c>
      <c r="AK27" s="309">
        <f t="shared" si="3"/>
        <v>0</v>
      </c>
      <c r="AL27" s="329">
        <v>1.21</v>
      </c>
      <c r="AM27" s="341"/>
      <c r="AN27" s="303"/>
      <c r="AO27" s="370"/>
      <c r="AP27" s="364" t="s">
        <v>136</v>
      </c>
      <c r="AQ27" s="335" t="s">
        <v>136</v>
      </c>
      <c r="AR27" s="336">
        <v>0</v>
      </c>
      <c r="AS27" s="309">
        <f t="shared" si="4"/>
        <v>0</v>
      </c>
      <c r="AT27" s="329">
        <v>1.21</v>
      </c>
      <c r="AU27" s="486"/>
    </row>
    <row r="28" spans="1:47" ht="15.75" customHeight="1" thickTop="1" thickBot="1" x14ac:dyDescent="0.3">
      <c r="A28" s="299" t="s">
        <v>624</v>
      </c>
      <c r="B28" s="423" t="s">
        <v>550</v>
      </c>
      <c r="C28" s="297" t="s">
        <v>551</v>
      </c>
      <c r="D28" s="325">
        <v>1</v>
      </c>
      <c r="E28" s="325">
        <v>0</v>
      </c>
      <c r="F28" s="479"/>
      <c r="G28" s="552">
        <f>IF($G$11=1,P28,0)</f>
        <v>0.08</v>
      </c>
      <c r="H28" s="370"/>
      <c r="I28" s="399">
        <f>$G$2*G28</f>
        <v>1.04</v>
      </c>
      <c r="J28" s="403">
        <v>75</v>
      </c>
      <c r="K28" s="339">
        <v>0</v>
      </c>
      <c r="L28" s="309">
        <f t="shared" si="0"/>
        <v>0</v>
      </c>
      <c r="M28" s="348" t="s">
        <v>136</v>
      </c>
      <c r="N28" s="479"/>
      <c r="O28" s="341" t="s">
        <v>543</v>
      </c>
      <c r="P28" s="404">
        <v>0.08</v>
      </c>
      <c r="Q28" s="370"/>
      <c r="R28" s="519">
        <f>$P$2*P28</f>
        <v>1.04</v>
      </c>
      <c r="S28" s="403">
        <v>75</v>
      </c>
      <c r="T28" s="339">
        <v>0</v>
      </c>
      <c r="U28" s="309">
        <f t="shared" si="1"/>
        <v>0</v>
      </c>
      <c r="V28" s="348" t="s">
        <v>136</v>
      </c>
      <c r="W28" s="341" t="s">
        <v>543</v>
      </c>
      <c r="X28" s="303"/>
      <c r="Y28" s="370"/>
      <c r="Z28" s="416">
        <v>0</v>
      </c>
      <c r="AA28" s="328">
        <v>75</v>
      </c>
      <c r="AB28" s="339">
        <v>0</v>
      </c>
      <c r="AC28" s="309">
        <f t="shared" si="2"/>
        <v>0</v>
      </c>
      <c r="AD28" s="414" t="s">
        <v>136</v>
      </c>
      <c r="AE28" s="341"/>
      <c r="AF28" s="303"/>
      <c r="AG28" s="370"/>
      <c r="AH28" s="339">
        <v>0</v>
      </c>
      <c r="AI28" s="328">
        <v>75</v>
      </c>
      <c r="AJ28" s="339">
        <v>0</v>
      </c>
      <c r="AK28" s="309">
        <f t="shared" si="3"/>
        <v>0</v>
      </c>
      <c r="AL28" s="348" t="s">
        <v>136</v>
      </c>
      <c r="AM28" s="341"/>
      <c r="AN28" s="303"/>
      <c r="AO28" s="370"/>
      <c r="AP28" s="339">
        <v>0</v>
      </c>
      <c r="AQ28" s="328">
        <v>75</v>
      </c>
      <c r="AR28" s="339">
        <v>0</v>
      </c>
      <c r="AS28" s="309">
        <f t="shared" si="4"/>
        <v>0</v>
      </c>
      <c r="AT28" s="348" t="s">
        <v>136</v>
      </c>
      <c r="AU28" s="486"/>
    </row>
    <row r="29" spans="1:47" ht="15.75" customHeight="1" thickTop="1" thickBot="1" x14ac:dyDescent="0.3">
      <c r="A29" s="299" t="s">
        <v>624</v>
      </c>
      <c r="B29" s="423" t="s">
        <v>550</v>
      </c>
      <c r="C29" s="297" t="s">
        <v>551</v>
      </c>
      <c r="D29" s="325">
        <v>1</v>
      </c>
      <c r="E29" s="325">
        <v>1</v>
      </c>
      <c r="F29" s="479"/>
      <c r="G29" s="341"/>
      <c r="H29" s="404">
        <f>IF($H$11=1,Y29,0)</f>
        <v>0</v>
      </c>
      <c r="I29" s="511" t="s">
        <v>136</v>
      </c>
      <c r="J29" s="337" t="s">
        <v>136</v>
      </c>
      <c r="K29" s="409">
        <v>1</v>
      </c>
      <c r="L29" s="309">
        <f t="shared" si="0"/>
        <v>0</v>
      </c>
      <c r="M29" s="415">
        <v>1.1299999999999999</v>
      </c>
      <c r="N29" s="479"/>
      <c r="O29" s="341" t="s">
        <v>543</v>
      </c>
      <c r="P29" s="303"/>
      <c r="Q29" s="370"/>
      <c r="R29" s="511" t="s">
        <v>136</v>
      </c>
      <c r="S29" s="337" t="s">
        <v>136</v>
      </c>
      <c r="T29" s="338">
        <v>0</v>
      </c>
      <c r="U29" s="309">
        <f t="shared" si="1"/>
        <v>0</v>
      </c>
      <c r="V29" s="530">
        <v>1.1299999999999999</v>
      </c>
      <c r="W29" s="341" t="s">
        <v>543</v>
      </c>
      <c r="X29" s="303"/>
      <c r="Y29" s="404">
        <v>0.05</v>
      </c>
      <c r="Z29" s="365" t="s">
        <v>136</v>
      </c>
      <c r="AA29" s="337" t="s">
        <v>136</v>
      </c>
      <c r="AB29" s="409">
        <v>1</v>
      </c>
      <c r="AC29" s="309">
        <f t="shared" si="2"/>
        <v>2178</v>
      </c>
      <c r="AD29" s="415">
        <v>1.1299999999999999</v>
      </c>
      <c r="AE29" s="341"/>
      <c r="AF29" s="303"/>
      <c r="AG29" s="370"/>
      <c r="AH29" s="365" t="s">
        <v>136</v>
      </c>
      <c r="AI29" s="337" t="s">
        <v>136</v>
      </c>
      <c r="AJ29" s="338">
        <v>0</v>
      </c>
      <c r="AK29" s="309">
        <f t="shared" si="3"/>
        <v>0</v>
      </c>
      <c r="AL29" s="530">
        <v>1.1299999999999999</v>
      </c>
      <c r="AM29" s="341"/>
      <c r="AN29" s="303"/>
      <c r="AO29" s="370"/>
      <c r="AP29" s="365" t="s">
        <v>136</v>
      </c>
      <c r="AQ29" s="337" t="s">
        <v>136</v>
      </c>
      <c r="AR29" s="338">
        <v>0</v>
      </c>
      <c r="AS29" s="309">
        <f t="shared" si="4"/>
        <v>0</v>
      </c>
      <c r="AT29" s="530">
        <v>1.1299999999999999</v>
      </c>
      <c r="AU29" s="487"/>
    </row>
    <row r="30" spans="1:47" ht="15.75" customHeight="1" thickTop="1" thickBot="1" x14ac:dyDescent="0.3">
      <c r="A30" s="299" t="s">
        <v>624</v>
      </c>
      <c r="B30" s="423" t="s">
        <v>552</v>
      </c>
      <c r="C30" s="297" t="s">
        <v>553</v>
      </c>
      <c r="D30" s="325">
        <v>1</v>
      </c>
      <c r="E30" s="325">
        <v>0</v>
      </c>
      <c r="F30" s="479"/>
      <c r="G30" s="552">
        <f>IF($G$11=1,P30,0)</f>
        <v>0</v>
      </c>
      <c r="H30" s="370"/>
      <c r="I30" s="399">
        <f>$G$2*G30</f>
        <v>0</v>
      </c>
      <c r="J30" s="403">
        <v>180</v>
      </c>
      <c r="K30" s="339">
        <v>0</v>
      </c>
      <c r="L30" s="309">
        <f t="shared" si="0"/>
        <v>0</v>
      </c>
      <c r="M30" s="414" t="s">
        <v>136</v>
      </c>
      <c r="N30" s="479"/>
      <c r="O30" s="341" t="s">
        <v>665</v>
      </c>
      <c r="P30" s="404">
        <v>0</v>
      </c>
      <c r="Q30" s="370"/>
      <c r="R30" s="519">
        <f>$P$2*P30</f>
        <v>0</v>
      </c>
      <c r="S30" s="403">
        <v>180</v>
      </c>
      <c r="T30" s="339">
        <v>0</v>
      </c>
      <c r="U30" s="309">
        <f t="shared" si="1"/>
        <v>0</v>
      </c>
      <c r="V30" s="348" t="s">
        <v>136</v>
      </c>
      <c r="W30" s="341" t="s">
        <v>543</v>
      </c>
      <c r="X30" s="303"/>
      <c r="Y30" s="370"/>
      <c r="Z30" s="416">
        <v>0</v>
      </c>
      <c r="AA30" s="328">
        <v>180</v>
      </c>
      <c r="AB30" s="339">
        <v>0</v>
      </c>
      <c r="AC30" s="309">
        <f t="shared" si="2"/>
        <v>0</v>
      </c>
      <c r="AD30" s="414" t="s">
        <v>136</v>
      </c>
      <c r="AE30" s="341"/>
      <c r="AF30" s="303"/>
      <c r="AG30" s="370"/>
      <c r="AH30" s="339">
        <f>$P$2*P30</f>
        <v>0</v>
      </c>
      <c r="AI30" s="328">
        <v>180</v>
      </c>
      <c r="AJ30" s="339">
        <v>0</v>
      </c>
      <c r="AK30" s="309">
        <f t="shared" si="3"/>
        <v>0</v>
      </c>
      <c r="AL30" s="348" t="s">
        <v>136</v>
      </c>
      <c r="AM30" s="341"/>
      <c r="AN30" s="303"/>
      <c r="AO30" s="370"/>
      <c r="AP30" s="339">
        <v>0</v>
      </c>
      <c r="AQ30" s="328">
        <v>180</v>
      </c>
      <c r="AR30" s="339">
        <v>0</v>
      </c>
      <c r="AS30" s="309">
        <f t="shared" si="4"/>
        <v>0</v>
      </c>
      <c r="AT30" s="348" t="s">
        <v>136</v>
      </c>
      <c r="AU30" s="486"/>
    </row>
    <row r="31" spans="1:47" ht="15.75" customHeight="1" thickTop="1" thickBot="1" x14ac:dyDescent="0.3">
      <c r="A31" s="299" t="s">
        <v>624</v>
      </c>
      <c r="B31" s="423" t="s">
        <v>552</v>
      </c>
      <c r="C31" s="297" t="s">
        <v>553</v>
      </c>
      <c r="D31" s="325">
        <v>1</v>
      </c>
      <c r="E31" s="325">
        <v>1</v>
      </c>
      <c r="F31" s="479"/>
      <c r="G31" s="341"/>
      <c r="H31" s="404">
        <f>IF($H$11=1,Y31,0)</f>
        <v>0</v>
      </c>
      <c r="I31" s="511" t="s">
        <v>136</v>
      </c>
      <c r="J31" s="337" t="s">
        <v>136</v>
      </c>
      <c r="K31" s="493">
        <v>0.44</v>
      </c>
      <c r="L31" s="309">
        <f t="shared" si="0"/>
        <v>0</v>
      </c>
      <c r="M31" s="415">
        <v>1.21</v>
      </c>
      <c r="N31" s="479"/>
      <c r="O31" s="341" t="s">
        <v>543</v>
      </c>
      <c r="P31" s="303"/>
      <c r="Q31" s="370"/>
      <c r="R31" s="511" t="s">
        <v>136</v>
      </c>
      <c r="S31" s="337" t="s">
        <v>136</v>
      </c>
      <c r="T31" s="508">
        <v>0.44</v>
      </c>
      <c r="U31" s="309">
        <f t="shared" si="1"/>
        <v>0</v>
      </c>
      <c r="V31" s="530">
        <v>1.21</v>
      </c>
      <c r="W31" s="341" t="s">
        <v>665</v>
      </c>
      <c r="X31" s="303"/>
      <c r="Y31" s="404">
        <v>0.05</v>
      </c>
      <c r="Z31" s="365" t="s">
        <v>136</v>
      </c>
      <c r="AA31" s="337" t="s">
        <v>136</v>
      </c>
      <c r="AB31" s="493">
        <v>0.44</v>
      </c>
      <c r="AC31" s="309">
        <f t="shared" si="2"/>
        <v>958.32</v>
      </c>
      <c r="AD31" s="415">
        <v>1.21</v>
      </c>
      <c r="AE31" s="341"/>
      <c r="AF31" s="303"/>
      <c r="AG31" s="370"/>
      <c r="AH31" s="365" t="s">
        <v>136</v>
      </c>
      <c r="AI31" s="337" t="s">
        <v>136</v>
      </c>
      <c r="AJ31" s="338">
        <v>0</v>
      </c>
      <c r="AK31" s="309">
        <f t="shared" si="3"/>
        <v>0</v>
      </c>
      <c r="AL31" s="530">
        <v>1.21</v>
      </c>
      <c r="AM31" s="341"/>
      <c r="AN31" s="303"/>
      <c r="AO31" s="370"/>
      <c r="AP31" s="365" t="s">
        <v>136</v>
      </c>
      <c r="AQ31" s="337" t="s">
        <v>136</v>
      </c>
      <c r="AR31" s="338">
        <v>0</v>
      </c>
      <c r="AS31" s="309">
        <f t="shared" si="4"/>
        <v>0</v>
      </c>
      <c r="AT31" s="530">
        <v>1.21</v>
      </c>
      <c r="AU31" s="487"/>
    </row>
    <row r="32" spans="1:47" ht="15.75" customHeight="1" thickTop="1" thickBot="1" x14ac:dyDescent="0.3">
      <c r="A32" s="299" t="s">
        <v>624</v>
      </c>
      <c r="B32" s="423" t="s">
        <v>554</v>
      </c>
      <c r="C32" s="297" t="s">
        <v>555</v>
      </c>
      <c r="D32" s="325">
        <v>1</v>
      </c>
      <c r="E32" s="325">
        <v>0</v>
      </c>
      <c r="F32" s="479"/>
      <c r="G32" s="552">
        <f>IF($G$11=1,P32,0)</f>
        <v>0.08</v>
      </c>
      <c r="H32" s="370"/>
      <c r="I32" s="399">
        <f>$G$2*G32</f>
        <v>1.04</v>
      </c>
      <c r="J32" s="403">
        <v>75</v>
      </c>
      <c r="K32" s="339">
        <v>0</v>
      </c>
      <c r="L32" s="309">
        <f t="shared" si="0"/>
        <v>0</v>
      </c>
      <c r="M32" s="414" t="s">
        <v>136</v>
      </c>
      <c r="N32" s="479"/>
      <c r="O32" s="341" t="s">
        <v>665</v>
      </c>
      <c r="P32" s="404">
        <v>0.08</v>
      </c>
      <c r="Q32" s="370"/>
      <c r="R32" s="519">
        <f>$P$2*P32</f>
        <v>1.04</v>
      </c>
      <c r="S32" s="403">
        <v>75</v>
      </c>
      <c r="T32" s="339">
        <v>0</v>
      </c>
      <c r="U32" s="309">
        <f t="shared" si="1"/>
        <v>0</v>
      </c>
      <c r="V32" s="348" t="s">
        <v>136</v>
      </c>
      <c r="W32" s="341" t="s">
        <v>543</v>
      </c>
      <c r="X32" s="303"/>
      <c r="Y32" s="370"/>
      <c r="Z32" s="540">
        <v>0</v>
      </c>
      <c r="AA32" s="328">
        <v>75</v>
      </c>
      <c r="AB32" s="339">
        <v>0</v>
      </c>
      <c r="AC32" s="309">
        <f t="shared" si="2"/>
        <v>0</v>
      </c>
      <c r="AD32" s="414" t="s">
        <v>136</v>
      </c>
      <c r="AE32" s="341"/>
      <c r="AF32" s="303"/>
      <c r="AG32" s="370"/>
      <c r="AH32" s="339">
        <v>0</v>
      </c>
      <c r="AI32" s="328">
        <v>75</v>
      </c>
      <c r="AJ32" s="339">
        <v>0</v>
      </c>
      <c r="AK32" s="309">
        <f t="shared" si="3"/>
        <v>0</v>
      </c>
      <c r="AL32" s="348" t="s">
        <v>136</v>
      </c>
      <c r="AM32" s="341"/>
      <c r="AN32" s="303"/>
      <c r="AO32" s="370"/>
      <c r="AP32" s="339">
        <v>0</v>
      </c>
      <c r="AQ32" s="328">
        <v>75</v>
      </c>
      <c r="AR32" s="339">
        <v>0</v>
      </c>
      <c r="AS32" s="309">
        <f t="shared" si="4"/>
        <v>0</v>
      </c>
      <c r="AT32" s="348" t="s">
        <v>136</v>
      </c>
      <c r="AU32" s="486"/>
    </row>
    <row r="33" spans="1:16363" ht="15.75" customHeight="1" thickTop="1" thickBot="1" x14ac:dyDescent="0.3">
      <c r="A33" s="299" t="s">
        <v>624</v>
      </c>
      <c r="B33" s="423" t="s">
        <v>554</v>
      </c>
      <c r="C33" s="297" t="s">
        <v>555</v>
      </c>
      <c r="D33" s="325">
        <v>1</v>
      </c>
      <c r="E33" s="325">
        <v>1</v>
      </c>
      <c r="F33" s="479"/>
      <c r="G33" s="341"/>
      <c r="H33" s="404">
        <f>IF($H$11=1,Y33,0)</f>
        <v>0</v>
      </c>
      <c r="I33" s="511" t="s">
        <v>136</v>
      </c>
      <c r="J33" s="337" t="s">
        <v>136</v>
      </c>
      <c r="K33" s="493">
        <v>0.44</v>
      </c>
      <c r="L33" s="309">
        <f t="shared" si="0"/>
        <v>0</v>
      </c>
      <c r="M33" s="415">
        <v>1.1499999999999999</v>
      </c>
      <c r="N33" s="479"/>
      <c r="O33" s="341" t="s">
        <v>543</v>
      </c>
      <c r="P33" s="303"/>
      <c r="Q33" s="370"/>
      <c r="R33" s="511" t="s">
        <v>136</v>
      </c>
      <c r="S33" s="337" t="s">
        <v>136</v>
      </c>
      <c r="T33" s="508">
        <v>0.44</v>
      </c>
      <c r="U33" s="309">
        <f t="shared" si="1"/>
        <v>0</v>
      </c>
      <c r="V33" s="530">
        <v>1.1499999999999999</v>
      </c>
      <c r="W33" s="341" t="s">
        <v>665</v>
      </c>
      <c r="X33" s="303"/>
      <c r="Y33" s="404">
        <v>0.05</v>
      </c>
      <c r="Z33" s="365" t="s">
        <v>136</v>
      </c>
      <c r="AA33" s="337" t="s">
        <v>136</v>
      </c>
      <c r="AB33" s="493">
        <v>0.44</v>
      </c>
      <c r="AC33" s="309">
        <f t="shared" si="2"/>
        <v>958.32</v>
      </c>
      <c r="AD33" s="415">
        <v>1.1499999999999999</v>
      </c>
      <c r="AE33" s="341"/>
      <c r="AF33" s="303"/>
      <c r="AG33" s="370"/>
      <c r="AH33" s="365" t="s">
        <v>136</v>
      </c>
      <c r="AI33" s="337" t="s">
        <v>136</v>
      </c>
      <c r="AJ33" s="338">
        <v>0</v>
      </c>
      <c r="AK33" s="309">
        <f t="shared" si="3"/>
        <v>0</v>
      </c>
      <c r="AL33" s="530">
        <v>1.1499999999999999</v>
      </c>
      <c r="AM33" s="341"/>
      <c r="AN33" s="303"/>
      <c r="AO33" s="370"/>
      <c r="AP33" s="365" t="s">
        <v>136</v>
      </c>
      <c r="AQ33" s="337" t="s">
        <v>136</v>
      </c>
      <c r="AR33" s="338">
        <v>0</v>
      </c>
      <c r="AS33" s="309">
        <f t="shared" si="4"/>
        <v>0</v>
      </c>
      <c r="AT33" s="530">
        <v>1.1499999999999999</v>
      </c>
      <c r="AU33" s="487"/>
    </row>
    <row r="34" spans="1:16363" ht="15.75" customHeight="1" thickTop="1" thickBot="1" x14ac:dyDescent="0.3">
      <c r="A34" s="299" t="s">
        <v>624</v>
      </c>
      <c r="B34" s="423" t="s">
        <v>537</v>
      </c>
      <c r="C34" s="301" t="s">
        <v>538</v>
      </c>
      <c r="D34" s="325">
        <v>1</v>
      </c>
      <c r="E34" s="325">
        <v>0</v>
      </c>
      <c r="F34" s="479"/>
      <c r="G34" s="344"/>
      <c r="H34" s="372"/>
      <c r="I34" s="533">
        <v>0</v>
      </c>
      <c r="J34" s="333">
        <v>450</v>
      </c>
      <c r="K34" s="330">
        <v>0</v>
      </c>
      <c r="L34" s="309">
        <f t="shared" si="0"/>
        <v>0</v>
      </c>
      <c r="M34" s="351" t="s">
        <v>136</v>
      </c>
      <c r="N34" s="479"/>
      <c r="O34" s="344" t="s">
        <v>666</v>
      </c>
      <c r="P34" s="345"/>
      <c r="Q34" s="372"/>
      <c r="R34" s="533">
        <v>0</v>
      </c>
      <c r="S34" s="333">
        <v>450</v>
      </c>
      <c r="T34" s="330">
        <v>0</v>
      </c>
      <c r="U34" s="309">
        <f t="shared" si="1"/>
        <v>0</v>
      </c>
      <c r="V34" s="351" t="s">
        <v>136</v>
      </c>
      <c r="W34" s="344"/>
      <c r="X34" s="345"/>
      <c r="Y34" s="372"/>
      <c r="Z34" s="533">
        <v>0</v>
      </c>
      <c r="AA34" s="333">
        <v>450</v>
      </c>
      <c r="AB34" s="330">
        <v>0</v>
      </c>
      <c r="AC34" s="309">
        <f t="shared" si="2"/>
        <v>0</v>
      </c>
      <c r="AD34" s="413" t="s">
        <v>136</v>
      </c>
      <c r="AE34" s="344" t="s">
        <v>543</v>
      </c>
      <c r="AF34" s="404">
        <v>0.05</v>
      </c>
      <c r="AG34" s="372"/>
      <c r="AH34" s="424">
        <f>$AF$2*AF34</f>
        <v>0.65</v>
      </c>
      <c r="AI34" s="410">
        <v>450</v>
      </c>
      <c r="AJ34" s="330">
        <v>0</v>
      </c>
      <c r="AK34" s="309">
        <f t="shared" si="3"/>
        <v>0</v>
      </c>
      <c r="AL34" s="351" t="s">
        <v>136</v>
      </c>
      <c r="AM34" s="344" t="s">
        <v>543</v>
      </c>
      <c r="AN34" s="303"/>
      <c r="AO34" s="372"/>
      <c r="AP34" s="330">
        <v>0</v>
      </c>
      <c r="AQ34" s="333">
        <v>450</v>
      </c>
      <c r="AR34" s="330">
        <v>0</v>
      </c>
      <c r="AS34" s="309">
        <f t="shared" si="4"/>
        <v>0</v>
      </c>
      <c r="AT34" s="351" t="s">
        <v>136</v>
      </c>
      <c r="AU34" s="486"/>
    </row>
    <row r="35" spans="1:16363" ht="15.75" customHeight="1" thickTop="1" thickBot="1" x14ac:dyDescent="0.3">
      <c r="A35" s="299" t="s">
        <v>624</v>
      </c>
      <c r="B35" s="423" t="s">
        <v>537</v>
      </c>
      <c r="C35" s="301" t="s">
        <v>538</v>
      </c>
      <c r="D35" s="325">
        <v>1</v>
      </c>
      <c r="E35" s="325">
        <v>1</v>
      </c>
      <c r="F35" s="479"/>
      <c r="G35" s="344"/>
      <c r="H35" s="372"/>
      <c r="I35" s="333" t="s">
        <v>136</v>
      </c>
      <c r="J35" s="333" t="s">
        <v>136</v>
      </c>
      <c r="K35" s="507">
        <v>0.44</v>
      </c>
      <c r="L35" s="309">
        <f t="shared" si="0"/>
        <v>0</v>
      </c>
      <c r="M35" s="351">
        <v>1.1299999999999999</v>
      </c>
      <c r="N35" s="479"/>
      <c r="O35" s="344" t="s">
        <v>543</v>
      </c>
      <c r="P35" s="345"/>
      <c r="Q35" s="372"/>
      <c r="R35" s="333" t="s">
        <v>136</v>
      </c>
      <c r="S35" s="333" t="s">
        <v>136</v>
      </c>
      <c r="T35" s="493">
        <v>0.44</v>
      </c>
      <c r="U35" s="309">
        <f t="shared" si="1"/>
        <v>0</v>
      </c>
      <c r="V35" s="333">
        <v>1.1299999999999999</v>
      </c>
      <c r="W35" s="344" t="s">
        <v>666</v>
      </c>
      <c r="X35" s="345"/>
      <c r="Y35" s="372"/>
      <c r="Z35" s="333" t="s">
        <v>136</v>
      </c>
      <c r="AA35" s="333" t="s">
        <v>136</v>
      </c>
      <c r="AB35" s="507">
        <v>0.44</v>
      </c>
      <c r="AC35" s="309">
        <f t="shared" si="2"/>
        <v>0</v>
      </c>
      <c r="AD35" s="333">
        <v>1.1299999999999999</v>
      </c>
      <c r="AE35" s="344" t="s">
        <v>543</v>
      </c>
      <c r="AF35" s="345"/>
      <c r="AG35" s="372"/>
      <c r="AH35" s="367" t="s">
        <v>136</v>
      </c>
      <c r="AI35" s="333" t="s">
        <v>136</v>
      </c>
      <c r="AJ35" s="507">
        <v>0.44</v>
      </c>
      <c r="AK35" s="309">
        <f t="shared" si="3"/>
        <v>0</v>
      </c>
      <c r="AL35" s="351">
        <v>1.1299999999999999</v>
      </c>
      <c r="AM35" s="344" t="s">
        <v>543</v>
      </c>
      <c r="AN35" s="345"/>
      <c r="AO35" s="404">
        <v>0.1</v>
      </c>
      <c r="AP35" s="367" t="s">
        <v>136</v>
      </c>
      <c r="AQ35" s="333" t="s">
        <v>136</v>
      </c>
      <c r="AR35" s="525">
        <v>0.25</v>
      </c>
      <c r="AS35" s="309">
        <v>0</v>
      </c>
      <c r="AT35" s="422">
        <v>1.1299999999999999</v>
      </c>
      <c r="AU35" s="488"/>
      <c r="ZA35" s="297"/>
      <c r="ZB35" s="297"/>
      <c r="ZC35" s="297"/>
      <c r="ZD35" s="297"/>
      <c r="ZE35" s="297"/>
      <c r="ZF35" s="297"/>
      <c r="ZG35" s="297"/>
      <c r="ZH35" s="297"/>
      <c r="ZI35" s="297"/>
      <c r="ZJ35" s="297"/>
      <c r="ZK35" s="297"/>
      <c r="ZL35" s="297"/>
      <c r="ZM35" s="297"/>
      <c r="ZN35" s="297"/>
      <c r="ZO35" s="297"/>
      <c r="ZP35" s="297"/>
      <c r="ZQ35" s="297"/>
      <c r="ZR35" s="297"/>
      <c r="ZS35" s="297"/>
      <c r="ZT35" s="297"/>
      <c r="ZU35" s="297"/>
      <c r="ZV35" s="297"/>
      <c r="ZW35" s="297"/>
      <c r="ZX35" s="297"/>
      <c r="ZY35" s="297"/>
      <c r="ZZ35" s="297"/>
      <c r="AAA35" s="297"/>
      <c r="AAB35" s="297"/>
      <c r="AAC35" s="297"/>
      <c r="AAD35" s="297"/>
      <c r="AAE35" s="297"/>
      <c r="AAF35" s="297"/>
      <c r="AAG35" s="297"/>
      <c r="AAH35" s="297"/>
      <c r="AAI35" s="297"/>
      <c r="AAJ35" s="297"/>
      <c r="AAK35" s="297"/>
      <c r="AAL35" s="297"/>
      <c r="AAM35" s="297"/>
      <c r="AAN35" s="297"/>
      <c r="AAO35" s="297"/>
      <c r="AAP35" s="297"/>
      <c r="AAQ35" s="297"/>
      <c r="AAR35" s="297"/>
      <c r="AAS35" s="297"/>
      <c r="AAT35" s="297"/>
      <c r="AAU35" s="297"/>
      <c r="AAV35" s="297"/>
      <c r="AAW35" s="297"/>
      <c r="AAX35" s="297"/>
      <c r="AAY35" s="297"/>
      <c r="AAZ35" s="297"/>
      <c r="ABA35" s="297"/>
      <c r="ABB35" s="297"/>
      <c r="ABC35" s="297"/>
      <c r="ABD35" s="297"/>
      <c r="ABE35" s="297"/>
      <c r="ABF35" s="297"/>
      <c r="ABG35" s="297"/>
      <c r="ABH35" s="297"/>
      <c r="ABI35" s="297"/>
      <c r="ABJ35" s="297"/>
      <c r="ABK35" s="297"/>
      <c r="ABL35" s="297"/>
      <c r="ABM35" s="297"/>
      <c r="ABN35" s="297"/>
      <c r="ABO35" s="297"/>
      <c r="ABP35" s="297"/>
      <c r="ABQ35" s="297"/>
      <c r="ABR35" s="297"/>
      <c r="ABS35" s="297"/>
      <c r="ABT35" s="297"/>
      <c r="ABU35" s="297"/>
      <c r="ABV35" s="297"/>
      <c r="ABW35" s="297"/>
      <c r="ABX35" s="297"/>
      <c r="ABY35" s="297"/>
      <c r="ABZ35" s="297"/>
      <c r="ACA35" s="297"/>
      <c r="ACB35" s="297"/>
      <c r="ACC35" s="297"/>
      <c r="ACD35" s="297"/>
      <c r="ACE35" s="297"/>
      <c r="ACF35" s="297"/>
      <c r="ACG35" s="297"/>
      <c r="ACH35" s="297"/>
      <c r="ACI35" s="297"/>
      <c r="ACJ35" s="297"/>
      <c r="ACK35" s="297"/>
      <c r="ACL35" s="297"/>
      <c r="ACM35" s="297"/>
      <c r="ACN35" s="297"/>
      <c r="ACO35" s="297"/>
      <c r="ACP35" s="297"/>
      <c r="ACQ35" s="297"/>
      <c r="ACR35" s="297"/>
      <c r="ACS35" s="297"/>
      <c r="ACT35" s="297"/>
      <c r="ACU35" s="297"/>
      <c r="ACV35" s="297"/>
      <c r="ACW35" s="297"/>
      <c r="ACX35" s="297"/>
      <c r="ACY35" s="297"/>
      <c r="ACZ35" s="297"/>
      <c r="ADA35" s="297"/>
      <c r="ADB35" s="297"/>
      <c r="ADC35" s="297"/>
      <c r="ADD35" s="297"/>
      <c r="ADE35" s="297"/>
      <c r="ADF35" s="297"/>
      <c r="ADG35" s="297"/>
      <c r="ADH35" s="297"/>
      <c r="ADI35" s="297"/>
      <c r="ADJ35" s="297"/>
      <c r="ADK35" s="297"/>
      <c r="ADL35" s="297"/>
      <c r="ADM35" s="297"/>
      <c r="ADN35" s="297"/>
      <c r="ADO35" s="297"/>
      <c r="ADP35" s="297"/>
      <c r="ADQ35" s="297"/>
      <c r="ADR35" s="297"/>
      <c r="ADS35" s="297"/>
      <c r="ADT35" s="297"/>
      <c r="ADU35" s="297"/>
      <c r="ADV35" s="297"/>
      <c r="ADW35" s="297"/>
      <c r="ADX35" s="297"/>
      <c r="ADY35" s="297"/>
      <c r="ADZ35" s="297"/>
      <c r="AEA35" s="297"/>
      <c r="AEB35" s="297"/>
      <c r="AEC35" s="297"/>
      <c r="AED35" s="297"/>
      <c r="AEE35" s="297"/>
      <c r="AEF35" s="297"/>
      <c r="AEG35" s="297"/>
      <c r="AEH35" s="297"/>
      <c r="AEI35" s="297"/>
      <c r="AEJ35" s="297"/>
      <c r="AEK35" s="297"/>
      <c r="AEL35" s="297"/>
      <c r="AEM35" s="297"/>
      <c r="AEN35" s="297"/>
      <c r="AEO35" s="297"/>
      <c r="AEP35" s="297"/>
      <c r="AEQ35" s="297"/>
      <c r="AER35" s="297"/>
      <c r="AES35" s="297"/>
      <c r="AET35" s="297"/>
      <c r="AEU35" s="297"/>
      <c r="AEV35" s="297"/>
      <c r="AEW35" s="297"/>
      <c r="AEX35" s="297"/>
      <c r="AEY35" s="297"/>
      <c r="AEZ35" s="297"/>
      <c r="AFA35" s="297"/>
      <c r="AFB35" s="297"/>
      <c r="AFC35" s="297"/>
      <c r="AFD35" s="297"/>
      <c r="AFE35" s="297"/>
      <c r="AFF35" s="297"/>
      <c r="AFG35" s="297"/>
      <c r="AFH35" s="297"/>
      <c r="AFI35" s="297"/>
      <c r="AFJ35" s="297"/>
      <c r="AFK35" s="297"/>
      <c r="AFL35" s="297"/>
      <c r="AFM35" s="297"/>
      <c r="AFN35" s="297"/>
      <c r="AFO35" s="297"/>
      <c r="AFP35" s="297"/>
      <c r="AFQ35" s="297"/>
      <c r="AFR35" s="297"/>
      <c r="AFS35" s="297"/>
      <c r="AFT35" s="297"/>
      <c r="AFU35" s="297"/>
      <c r="AFV35" s="297"/>
      <c r="AFW35" s="297"/>
      <c r="AFX35" s="297"/>
      <c r="AFY35" s="297"/>
      <c r="AFZ35" s="297"/>
      <c r="AGA35" s="297"/>
      <c r="AGB35" s="297"/>
      <c r="AGC35" s="297"/>
      <c r="AGD35" s="297"/>
      <c r="AGE35" s="297"/>
      <c r="AGF35" s="297"/>
      <c r="AGG35" s="297"/>
      <c r="AGH35" s="297"/>
      <c r="AGI35" s="297"/>
      <c r="AGJ35" s="297"/>
      <c r="AGK35" s="297"/>
      <c r="AGL35" s="297"/>
      <c r="AGM35" s="297"/>
      <c r="AGN35" s="297"/>
      <c r="AGO35" s="297"/>
      <c r="AGP35" s="297"/>
      <c r="AGQ35" s="297"/>
      <c r="AGR35" s="297"/>
      <c r="AGS35" s="297"/>
      <c r="AGT35" s="297"/>
      <c r="AGU35" s="297"/>
      <c r="AGV35" s="297"/>
      <c r="AGW35" s="297"/>
      <c r="AGX35" s="297"/>
      <c r="AGY35" s="297"/>
      <c r="AGZ35" s="297"/>
      <c r="AHA35" s="297"/>
      <c r="AHB35" s="297"/>
      <c r="AHC35" s="297"/>
      <c r="AHD35" s="297"/>
      <c r="AHE35" s="297"/>
      <c r="AHF35" s="297"/>
      <c r="AHG35" s="297"/>
      <c r="AHH35" s="297"/>
      <c r="AHI35" s="297"/>
      <c r="AHJ35" s="297"/>
      <c r="AHK35" s="297"/>
      <c r="AHL35" s="297"/>
      <c r="AHM35" s="297"/>
      <c r="AHN35" s="297"/>
      <c r="AHO35" s="297"/>
      <c r="AHP35" s="297"/>
      <c r="AHQ35" s="297"/>
      <c r="AHR35" s="297"/>
      <c r="AHS35" s="297"/>
      <c r="AHT35" s="297"/>
      <c r="AHU35" s="297"/>
      <c r="AHV35" s="297"/>
      <c r="AHW35" s="297"/>
      <c r="AHX35" s="297"/>
      <c r="AHY35" s="297"/>
      <c r="AHZ35" s="297"/>
      <c r="AIA35" s="297"/>
      <c r="AIB35" s="297"/>
      <c r="AIC35" s="297"/>
      <c r="AID35" s="297"/>
      <c r="AIE35" s="297"/>
      <c r="AIF35" s="297"/>
      <c r="AIG35" s="297"/>
      <c r="AIH35" s="297"/>
      <c r="AII35" s="297"/>
      <c r="AIJ35" s="297"/>
      <c r="AIK35" s="297"/>
      <c r="AIL35" s="297"/>
      <c r="AIM35" s="297"/>
      <c r="AIN35" s="297"/>
      <c r="AIO35" s="297"/>
      <c r="AIP35" s="297"/>
      <c r="AIQ35" s="297"/>
      <c r="AIR35" s="297"/>
      <c r="AIS35" s="297"/>
      <c r="AIT35" s="297"/>
      <c r="AIU35" s="297"/>
      <c r="AIV35" s="297"/>
      <c r="AIW35" s="297"/>
      <c r="AIX35" s="297"/>
      <c r="AIY35" s="297"/>
      <c r="AIZ35" s="297"/>
      <c r="AJA35" s="297"/>
      <c r="AJB35" s="297"/>
      <c r="AJC35" s="297"/>
      <c r="AJD35" s="297"/>
      <c r="AJE35" s="297"/>
      <c r="AJF35" s="297"/>
      <c r="AJG35" s="297"/>
      <c r="AJH35" s="297"/>
      <c r="AJI35" s="297"/>
      <c r="AJJ35" s="297"/>
      <c r="AJK35" s="297"/>
      <c r="AJL35" s="297"/>
      <c r="AJM35" s="297"/>
      <c r="AJN35" s="297"/>
      <c r="AJO35" s="297"/>
      <c r="AJP35" s="297"/>
      <c r="AJQ35" s="297"/>
      <c r="AJR35" s="297"/>
      <c r="AJS35" s="297"/>
      <c r="AJT35" s="297"/>
      <c r="AJU35" s="297"/>
      <c r="AJV35" s="297"/>
      <c r="AJW35" s="297"/>
      <c r="AJX35" s="297"/>
      <c r="AJY35" s="297"/>
      <c r="AJZ35" s="297"/>
      <c r="AKA35" s="297"/>
      <c r="AKB35" s="297"/>
      <c r="AKC35" s="297"/>
      <c r="AKD35" s="297"/>
      <c r="AKE35" s="297"/>
      <c r="AKF35" s="297"/>
      <c r="AKG35" s="297"/>
      <c r="AKH35" s="297"/>
      <c r="AKI35" s="297"/>
      <c r="AKJ35" s="297"/>
      <c r="AKK35" s="297"/>
      <c r="AKL35" s="297"/>
      <c r="AKM35" s="297"/>
      <c r="AKN35" s="297"/>
      <c r="AKO35" s="297"/>
      <c r="AKP35" s="297"/>
      <c r="AKQ35" s="297"/>
      <c r="AKR35" s="297"/>
      <c r="AKS35" s="297"/>
      <c r="AKT35" s="297"/>
      <c r="AKU35" s="297"/>
      <c r="AKV35" s="297"/>
      <c r="AKW35" s="297"/>
      <c r="AKX35" s="297"/>
      <c r="AKY35" s="297"/>
      <c r="AKZ35" s="297"/>
      <c r="ALA35" s="297"/>
      <c r="ALB35" s="297"/>
      <c r="ALC35" s="297"/>
      <c r="ALD35" s="297"/>
      <c r="ALE35" s="297"/>
      <c r="ALF35" s="297"/>
      <c r="ALG35" s="297"/>
      <c r="ALH35" s="297"/>
      <c r="ALI35" s="297"/>
      <c r="ALJ35" s="297"/>
      <c r="ALK35" s="297"/>
      <c r="ALL35" s="297"/>
      <c r="ALM35" s="297"/>
      <c r="ALN35" s="297"/>
      <c r="ALO35" s="297"/>
      <c r="ALP35" s="297"/>
      <c r="ALQ35" s="297"/>
      <c r="ALR35" s="297"/>
      <c r="ALS35" s="297"/>
      <c r="ALT35" s="297"/>
      <c r="ALU35" s="297"/>
      <c r="ALV35" s="297"/>
      <c r="ALW35" s="297"/>
      <c r="ALX35" s="297"/>
      <c r="ALY35" s="297"/>
      <c r="ALZ35" s="297"/>
      <c r="AMA35" s="297"/>
      <c r="AMB35" s="297"/>
      <c r="AMC35" s="297"/>
      <c r="AMD35" s="297"/>
      <c r="AME35" s="297"/>
      <c r="AMF35" s="297"/>
      <c r="AMG35" s="297"/>
      <c r="AMH35" s="297"/>
      <c r="AMI35" s="297"/>
      <c r="AMJ35" s="297"/>
      <c r="AMK35" s="297"/>
      <c r="AML35" s="297"/>
      <c r="AMM35" s="297"/>
      <c r="AMN35" s="297"/>
      <c r="AMO35" s="297"/>
      <c r="AMP35" s="297"/>
      <c r="AMQ35" s="297"/>
      <c r="AMR35" s="297"/>
      <c r="AMS35" s="297"/>
      <c r="AMT35" s="297"/>
      <c r="AMU35" s="297"/>
      <c r="AMV35" s="297"/>
      <c r="AMW35" s="297"/>
      <c r="AMX35" s="297"/>
      <c r="AMY35" s="297"/>
      <c r="AMZ35" s="297"/>
      <c r="ANA35" s="297"/>
      <c r="ANB35" s="297"/>
      <c r="ANC35" s="297"/>
      <c r="AND35" s="297"/>
      <c r="ANE35" s="297"/>
      <c r="ANF35" s="297"/>
      <c r="ANG35" s="297"/>
      <c r="ANH35" s="297"/>
      <c r="ANI35" s="297"/>
      <c r="ANJ35" s="297"/>
      <c r="ANK35" s="297"/>
      <c r="ANL35" s="297"/>
      <c r="ANM35" s="297"/>
      <c r="ANN35" s="297"/>
      <c r="ANO35" s="297"/>
      <c r="ANP35" s="297"/>
      <c r="ANQ35" s="297"/>
      <c r="ANR35" s="297"/>
      <c r="ANS35" s="297"/>
      <c r="ANT35" s="297"/>
      <c r="ANU35" s="297"/>
      <c r="ANV35" s="297"/>
      <c r="ANW35" s="297"/>
      <c r="ANX35" s="297"/>
      <c r="ANY35" s="297"/>
      <c r="ANZ35" s="297"/>
      <c r="AOA35" s="297"/>
      <c r="AOB35" s="297"/>
      <c r="AOC35" s="297"/>
      <c r="AOD35" s="297"/>
      <c r="AOE35" s="297"/>
      <c r="AOF35" s="297"/>
      <c r="AOG35" s="297"/>
      <c r="AOH35" s="297"/>
      <c r="AOI35" s="297"/>
      <c r="AOJ35" s="297"/>
      <c r="AOK35" s="297"/>
      <c r="AOL35" s="297"/>
      <c r="AOM35" s="297"/>
      <c r="AON35" s="297"/>
      <c r="AOO35" s="297"/>
      <c r="AOP35" s="297"/>
      <c r="AOQ35" s="297"/>
      <c r="AOR35" s="297"/>
      <c r="AOS35" s="297"/>
      <c r="AOT35" s="297"/>
      <c r="AOU35" s="297"/>
      <c r="AOV35" s="297"/>
      <c r="AOW35" s="297"/>
      <c r="AOX35" s="297"/>
      <c r="AOY35" s="297"/>
      <c r="AOZ35" s="297"/>
      <c r="APA35" s="297"/>
      <c r="APB35" s="297"/>
      <c r="APC35" s="297"/>
      <c r="APD35" s="297"/>
      <c r="APE35" s="297"/>
      <c r="APF35" s="297"/>
      <c r="APG35" s="297"/>
      <c r="APH35" s="297"/>
      <c r="API35" s="297"/>
      <c r="APJ35" s="297"/>
      <c r="APK35" s="297"/>
      <c r="APL35" s="297"/>
      <c r="APM35" s="297"/>
      <c r="APN35" s="297"/>
      <c r="APO35" s="297"/>
      <c r="APP35" s="297"/>
      <c r="APQ35" s="297"/>
      <c r="APR35" s="297"/>
      <c r="APS35" s="297"/>
      <c r="APT35" s="297"/>
      <c r="APU35" s="297"/>
      <c r="APV35" s="297"/>
      <c r="APW35" s="297"/>
      <c r="APX35" s="297"/>
      <c r="APY35" s="297"/>
      <c r="APZ35" s="297"/>
      <c r="AQA35" s="297"/>
      <c r="AQB35" s="297"/>
      <c r="AQC35" s="297"/>
      <c r="AQD35" s="297"/>
      <c r="AQE35" s="297"/>
      <c r="AQF35" s="297"/>
      <c r="AQG35" s="297"/>
      <c r="AQH35" s="297"/>
      <c r="AQI35" s="297"/>
      <c r="AQJ35" s="297"/>
      <c r="AQK35" s="297"/>
      <c r="AQL35" s="297"/>
      <c r="AQM35" s="297"/>
      <c r="AQN35" s="297"/>
      <c r="AQO35" s="297"/>
      <c r="AQP35" s="297"/>
      <c r="AQQ35" s="297"/>
      <c r="AQR35" s="297"/>
      <c r="AQS35" s="297"/>
      <c r="AQT35" s="297"/>
      <c r="AQU35" s="297"/>
      <c r="AQV35" s="297"/>
      <c r="AQW35" s="297"/>
      <c r="AQX35" s="297"/>
      <c r="AQY35" s="297"/>
      <c r="AQZ35" s="297"/>
      <c r="ARA35" s="297"/>
      <c r="ARB35" s="297"/>
      <c r="ARC35" s="297"/>
      <c r="ARD35" s="297"/>
      <c r="ARE35" s="297"/>
      <c r="ARF35" s="297"/>
      <c r="ARG35" s="297"/>
      <c r="ARH35" s="297"/>
      <c r="ARI35" s="297"/>
      <c r="ARJ35" s="297"/>
      <c r="ARK35" s="297"/>
      <c r="ARL35" s="297"/>
      <c r="ARM35" s="297"/>
      <c r="ARN35" s="297"/>
      <c r="ARO35" s="297"/>
      <c r="ARP35" s="297"/>
      <c r="ARQ35" s="297"/>
      <c r="ARR35" s="297"/>
      <c r="ARS35" s="297"/>
      <c r="ART35" s="297"/>
      <c r="ARU35" s="297"/>
      <c r="ARV35" s="297"/>
      <c r="ARW35" s="297"/>
      <c r="ARX35" s="297"/>
      <c r="ARY35" s="297"/>
      <c r="ARZ35" s="297"/>
      <c r="ASA35" s="297"/>
      <c r="ASB35" s="297"/>
      <c r="ASC35" s="297"/>
      <c r="ASD35" s="297"/>
      <c r="ASE35" s="297"/>
      <c r="ASF35" s="297"/>
      <c r="ASG35" s="297"/>
      <c r="ASH35" s="297"/>
      <c r="ASI35" s="297"/>
      <c r="ASJ35" s="297"/>
      <c r="ASK35" s="297"/>
      <c r="ASL35" s="297"/>
      <c r="ASM35" s="297"/>
      <c r="ASN35" s="297"/>
      <c r="ASO35" s="297"/>
      <c r="ASP35" s="297"/>
      <c r="ASQ35" s="297"/>
      <c r="ASR35" s="297"/>
      <c r="ASS35" s="297"/>
      <c r="AST35" s="297"/>
      <c r="ASU35" s="297"/>
      <c r="ASV35" s="297"/>
      <c r="ASW35" s="297"/>
      <c r="ASX35" s="297"/>
      <c r="ASY35" s="297"/>
      <c r="ASZ35" s="297"/>
      <c r="ATA35" s="297"/>
      <c r="ATB35" s="297"/>
      <c r="ATC35" s="297"/>
      <c r="ATD35" s="297"/>
      <c r="ATE35" s="297"/>
      <c r="ATF35" s="297"/>
      <c r="ATG35" s="297"/>
      <c r="ATH35" s="297"/>
      <c r="ATI35" s="297"/>
      <c r="ATJ35" s="297"/>
      <c r="ATK35" s="297"/>
      <c r="ATL35" s="297"/>
      <c r="ATM35" s="297"/>
      <c r="ATN35" s="297"/>
      <c r="ATO35" s="297"/>
      <c r="ATP35" s="297"/>
      <c r="ATQ35" s="297"/>
      <c r="ATR35" s="297"/>
      <c r="ATS35" s="297"/>
      <c r="ATT35" s="297"/>
      <c r="ATU35" s="297"/>
      <c r="ATV35" s="297"/>
      <c r="ATW35" s="297"/>
      <c r="ATX35" s="297"/>
      <c r="ATY35" s="297"/>
      <c r="ATZ35" s="297"/>
      <c r="AUA35" s="297"/>
      <c r="AUB35" s="297"/>
      <c r="AUC35" s="297"/>
      <c r="AUD35" s="297"/>
      <c r="AUE35" s="297"/>
      <c r="AUF35" s="297"/>
      <c r="AUG35" s="297"/>
      <c r="AUH35" s="297"/>
      <c r="AUI35" s="297"/>
      <c r="AUJ35" s="297"/>
      <c r="AUK35" s="297"/>
      <c r="AUL35" s="297"/>
      <c r="AUM35" s="297"/>
      <c r="AUN35" s="297"/>
      <c r="AUO35" s="297"/>
      <c r="AUP35" s="297"/>
      <c r="AUQ35" s="297"/>
      <c r="AUR35" s="297"/>
      <c r="AUS35" s="297"/>
      <c r="AUT35" s="297"/>
      <c r="AUU35" s="297"/>
      <c r="AUV35" s="297"/>
      <c r="AUW35" s="297"/>
      <c r="AUX35" s="297"/>
      <c r="AUY35" s="297"/>
      <c r="AUZ35" s="297"/>
      <c r="AVA35" s="297"/>
      <c r="AVB35" s="297"/>
      <c r="AVC35" s="297"/>
      <c r="AVD35" s="297"/>
      <c r="AVE35" s="297"/>
      <c r="AVF35" s="297"/>
      <c r="AVG35" s="297"/>
      <c r="AVH35" s="297"/>
      <c r="AVI35" s="297"/>
      <c r="AVJ35" s="297"/>
      <c r="AVK35" s="297"/>
      <c r="AVL35" s="297"/>
      <c r="AVM35" s="297"/>
      <c r="AVN35" s="297"/>
      <c r="AVO35" s="297"/>
      <c r="AVP35" s="297"/>
      <c r="AVQ35" s="297"/>
      <c r="AVR35" s="297"/>
      <c r="AVS35" s="297"/>
      <c r="AVT35" s="297"/>
      <c r="AVU35" s="297"/>
      <c r="AVV35" s="297"/>
      <c r="AVW35" s="297"/>
      <c r="AVX35" s="297"/>
      <c r="AVY35" s="297"/>
      <c r="AVZ35" s="297"/>
      <c r="AWA35" s="297"/>
      <c r="AWB35" s="297"/>
      <c r="AWC35" s="297"/>
      <c r="AWD35" s="297"/>
      <c r="AWE35" s="297"/>
      <c r="AWF35" s="297"/>
      <c r="AWG35" s="297"/>
      <c r="AWH35" s="297"/>
      <c r="AWI35" s="297"/>
      <c r="AWJ35" s="297"/>
      <c r="AWK35" s="297"/>
      <c r="AWL35" s="297"/>
      <c r="AWM35" s="297"/>
      <c r="AWN35" s="297"/>
      <c r="AWO35" s="297"/>
      <c r="AWP35" s="297"/>
      <c r="AWQ35" s="297"/>
      <c r="AWR35" s="297"/>
      <c r="AWS35" s="297"/>
      <c r="AWT35" s="297"/>
      <c r="AWU35" s="297"/>
      <c r="AWV35" s="297"/>
      <c r="AWW35" s="297"/>
      <c r="AWX35" s="297"/>
      <c r="AWY35" s="297"/>
      <c r="AWZ35" s="297"/>
      <c r="AXA35" s="297"/>
      <c r="AXB35" s="297"/>
      <c r="AXC35" s="297"/>
      <c r="AXD35" s="297"/>
      <c r="AXE35" s="297"/>
      <c r="AXF35" s="297"/>
      <c r="AXG35" s="297"/>
      <c r="AXH35" s="297"/>
      <c r="AXI35" s="297"/>
      <c r="AXJ35" s="297"/>
      <c r="AXK35" s="297"/>
      <c r="AXL35" s="297"/>
      <c r="AXM35" s="297"/>
      <c r="AXN35" s="297"/>
      <c r="AXO35" s="297"/>
      <c r="AXP35" s="297"/>
      <c r="AXQ35" s="297"/>
      <c r="AXR35" s="297"/>
      <c r="AXS35" s="297"/>
      <c r="AXT35" s="297"/>
      <c r="AXU35" s="297"/>
      <c r="AXV35" s="297"/>
      <c r="AXW35" s="297"/>
      <c r="AXX35" s="297"/>
      <c r="AXY35" s="297"/>
      <c r="AXZ35" s="297"/>
      <c r="AYA35" s="297"/>
      <c r="AYB35" s="297"/>
      <c r="AYC35" s="297"/>
      <c r="AYD35" s="297"/>
      <c r="AYE35" s="297"/>
      <c r="AYF35" s="297"/>
      <c r="AYG35" s="297"/>
      <c r="AYH35" s="297"/>
      <c r="AYI35" s="297"/>
      <c r="AYJ35" s="297"/>
      <c r="AYK35" s="297"/>
      <c r="AYL35" s="297"/>
      <c r="AYM35" s="297"/>
      <c r="AYN35" s="297"/>
      <c r="AYO35" s="297"/>
      <c r="AYP35" s="297"/>
      <c r="AYQ35" s="297"/>
      <c r="AYR35" s="297"/>
      <c r="AYS35" s="297"/>
      <c r="AYT35" s="297"/>
      <c r="AYU35" s="297"/>
      <c r="AYV35" s="297"/>
      <c r="AYW35" s="297"/>
      <c r="AYX35" s="297"/>
      <c r="AYY35" s="297"/>
      <c r="AYZ35" s="297"/>
      <c r="AZA35" s="297"/>
      <c r="AZB35" s="297"/>
      <c r="AZC35" s="297"/>
      <c r="AZD35" s="297"/>
      <c r="AZE35" s="297"/>
      <c r="AZF35" s="297"/>
      <c r="AZG35" s="297"/>
      <c r="AZH35" s="297"/>
      <c r="AZI35" s="297"/>
      <c r="AZJ35" s="297"/>
      <c r="AZK35" s="297"/>
      <c r="AZL35" s="297"/>
      <c r="AZM35" s="297"/>
      <c r="AZN35" s="297"/>
      <c r="AZO35" s="297"/>
      <c r="AZP35" s="297"/>
      <c r="AZQ35" s="297"/>
      <c r="AZR35" s="297"/>
      <c r="AZS35" s="297"/>
      <c r="AZT35" s="297"/>
      <c r="AZU35" s="297"/>
      <c r="AZV35" s="297"/>
      <c r="AZW35" s="297"/>
      <c r="AZX35" s="297"/>
      <c r="AZY35" s="297"/>
      <c r="AZZ35" s="297"/>
      <c r="BAA35" s="297"/>
      <c r="BAB35" s="297"/>
      <c r="BAC35" s="297"/>
      <c r="BAD35" s="297"/>
      <c r="BAE35" s="297"/>
      <c r="BAF35" s="297"/>
      <c r="BAG35" s="297"/>
      <c r="BAH35" s="297"/>
      <c r="BAI35" s="297"/>
      <c r="BAJ35" s="297"/>
      <c r="BAK35" s="297"/>
      <c r="BAL35" s="297"/>
      <c r="BAM35" s="297"/>
      <c r="BAN35" s="297"/>
      <c r="BAO35" s="297"/>
      <c r="BAP35" s="297"/>
      <c r="BAQ35" s="297"/>
      <c r="BAR35" s="297"/>
      <c r="BAS35" s="297"/>
      <c r="BAT35" s="297"/>
      <c r="BAU35" s="297"/>
      <c r="BAV35" s="297"/>
      <c r="BAW35" s="297"/>
      <c r="BAX35" s="297"/>
      <c r="BAY35" s="297"/>
      <c r="BAZ35" s="297"/>
      <c r="BBA35" s="297"/>
      <c r="BBB35" s="297"/>
      <c r="BBC35" s="297"/>
      <c r="BBD35" s="297"/>
      <c r="BBE35" s="297"/>
      <c r="BBF35" s="297"/>
      <c r="BBG35" s="297"/>
      <c r="BBH35" s="297"/>
      <c r="BBI35" s="297"/>
      <c r="BBJ35" s="297"/>
      <c r="BBK35" s="297"/>
      <c r="BBL35" s="297"/>
      <c r="BBM35" s="297"/>
      <c r="BBN35" s="297"/>
      <c r="BBO35" s="297"/>
      <c r="BBP35" s="297"/>
      <c r="BBQ35" s="297"/>
      <c r="BBR35" s="297"/>
      <c r="BBS35" s="297"/>
      <c r="BBT35" s="297"/>
      <c r="BBU35" s="297"/>
      <c r="BBV35" s="297"/>
      <c r="BBW35" s="297"/>
      <c r="BBX35" s="297"/>
      <c r="BBY35" s="297"/>
      <c r="BBZ35" s="297"/>
      <c r="BCA35" s="297"/>
      <c r="BCB35" s="297"/>
      <c r="BCC35" s="297"/>
      <c r="BCD35" s="297"/>
      <c r="BCE35" s="297"/>
      <c r="BCF35" s="297"/>
      <c r="BCG35" s="297"/>
      <c r="BCH35" s="297"/>
      <c r="BCI35" s="297"/>
      <c r="BCJ35" s="297"/>
      <c r="BCK35" s="297"/>
      <c r="BCL35" s="297"/>
      <c r="BCM35" s="297"/>
      <c r="BCN35" s="297"/>
      <c r="BCO35" s="297"/>
      <c r="BCP35" s="297"/>
      <c r="BCQ35" s="297"/>
      <c r="BCR35" s="297"/>
      <c r="BCS35" s="297"/>
      <c r="BCT35" s="297"/>
      <c r="BCU35" s="297"/>
      <c r="BCV35" s="297"/>
      <c r="BCW35" s="297"/>
      <c r="BCX35" s="297"/>
      <c r="BCY35" s="297"/>
      <c r="BCZ35" s="297"/>
      <c r="BDA35" s="297"/>
      <c r="BDB35" s="297"/>
      <c r="BDC35" s="297"/>
      <c r="BDD35" s="297"/>
      <c r="BDE35" s="297"/>
      <c r="BDF35" s="297"/>
      <c r="BDG35" s="297"/>
      <c r="BDH35" s="297"/>
      <c r="BDI35" s="297"/>
      <c r="BDJ35" s="297"/>
      <c r="BDK35" s="297"/>
      <c r="BDL35" s="297"/>
      <c r="BDM35" s="297"/>
      <c r="BDN35" s="297"/>
      <c r="BDO35" s="297"/>
      <c r="BDP35" s="297"/>
      <c r="BDQ35" s="297"/>
      <c r="BDR35" s="297"/>
      <c r="BDS35" s="297"/>
      <c r="BDT35" s="297"/>
      <c r="BDU35" s="297"/>
      <c r="BDV35" s="297"/>
      <c r="BDW35" s="297"/>
      <c r="BDX35" s="297"/>
      <c r="BDY35" s="297"/>
      <c r="BDZ35" s="297"/>
      <c r="BEA35" s="297"/>
      <c r="BEB35" s="297"/>
      <c r="BEC35" s="297"/>
      <c r="BED35" s="297"/>
      <c r="BEE35" s="297"/>
      <c r="BEF35" s="297"/>
      <c r="BEG35" s="297"/>
      <c r="BEH35" s="297"/>
      <c r="BEI35" s="297"/>
      <c r="BEJ35" s="297"/>
      <c r="BEK35" s="297"/>
      <c r="BEL35" s="297"/>
      <c r="BEM35" s="297"/>
      <c r="BEN35" s="297"/>
      <c r="BEO35" s="297"/>
      <c r="BEP35" s="297"/>
      <c r="BEQ35" s="297"/>
      <c r="BER35" s="297"/>
      <c r="BES35" s="297"/>
      <c r="BET35" s="297"/>
      <c r="BEU35" s="297"/>
      <c r="BEV35" s="297"/>
      <c r="BEW35" s="297"/>
      <c r="BEX35" s="297"/>
      <c r="BEY35" s="297"/>
      <c r="BEZ35" s="297"/>
      <c r="BFA35" s="297"/>
      <c r="BFB35" s="297"/>
      <c r="BFC35" s="297"/>
      <c r="BFD35" s="297"/>
      <c r="BFE35" s="297"/>
      <c r="BFF35" s="297"/>
      <c r="BFG35" s="297"/>
      <c r="BFH35" s="297"/>
      <c r="BFI35" s="297"/>
      <c r="BFJ35" s="297"/>
      <c r="BFK35" s="297"/>
      <c r="BFL35" s="297"/>
      <c r="BFM35" s="297"/>
      <c r="BFN35" s="297"/>
      <c r="BFO35" s="297"/>
      <c r="BFP35" s="297"/>
      <c r="BFQ35" s="297"/>
      <c r="BFR35" s="297"/>
      <c r="BFS35" s="297"/>
      <c r="BFT35" s="297"/>
      <c r="BFU35" s="297"/>
      <c r="BFV35" s="297"/>
      <c r="BFW35" s="297"/>
      <c r="BFX35" s="297"/>
      <c r="BFY35" s="297"/>
      <c r="BFZ35" s="297"/>
      <c r="BGA35" s="297"/>
      <c r="BGB35" s="297"/>
      <c r="BGC35" s="297"/>
      <c r="BGD35" s="297"/>
      <c r="BGE35" s="297"/>
      <c r="BGF35" s="297"/>
      <c r="BGG35" s="297"/>
      <c r="BGH35" s="297"/>
      <c r="BGI35" s="297"/>
      <c r="BGJ35" s="297"/>
      <c r="BGK35" s="297"/>
      <c r="BGL35" s="297"/>
      <c r="BGM35" s="297"/>
      <c r="BGN35" s="297"/>
      <c r="BGO35" s="297"/>
      <c r="BGP35" s="297"/>
      <c r="BGQ35" s="297"/>
      <c r="BGR35" s="297"/>
      <c r="BGS35" s="297"/>
      <c r="BGT35" s="297"/>
      <c r="BGU35" s="297"/>
      <c r="BGV35" s="297"/>
      <c r="BGW35" s="297"/>
      <c r="BGX35" s="297"/>
      <c r="BGY35" s="297"/>
      <c r="BGZ35" s="297"/>
      <c r="BHA35" s="297"/>
      <c r="BHB35" s="297"/>
      <c r="BHC35" s="297"/>
      <c r="BHD35" s="297"/>
      <c r="BHE35" s="297"/>
      <c r="BHF35" s="297"/>
      <c r="BHG35" s="297"/>
      <c r="BHH35" s="297"/>
      <c r="BHI35" s="297"/>
      <c r="BHJ35" s="297"/>
      <c r="BHK35" s="297"/>
      <c r="BHL35" s="297"/>
      <c r="BHM35" s="297"/>
      <c r="BHN35" s="297"/>
      <c r="BHO35" s="297"/>
      <c r="BHP35" s="297"/>
      <c r="BHQ35" s="297"/>
      <c r="BHR35" s="297"/>
      <c r="BHS35" s="297"/>
      <c r="BHT35" s="297"/>
      <c r="BHU35" s="297"/>
      <c r="BHV35" s="297"/>
      <c r="BHW35" s="297"/>
      <c r="BHX35" s="297"/>
      <c r="BHY35" s="297"/>
      <c r="BHZ35" s="297"/>
      <c r="BIA35" s="297"/>
      <c r="BIB35" s="297"/>
      <c r="BIC35" s="297"/>
      <c r="BID35" s="297"/>
      <c r="BIE35" s="297"/>
      <c r="BIF35" s="297"/>
      <c r="BIG35" s="297"/>
      <c r="BIH35" s="297"/>
      <c r="BII35" s="297"/>
      <c r="BIJ35" s="297"/>
      <c r="BIK35" s="297"/>
      <c r="BIL35" s="297"/>
      <c r="BIM35" s="297"/>
      <c r="BIN35" s="297"/>
      <c r="BIO35" s="297"/>
      <c r="BIP35" s="297"/>
      <c r="BIQ35" s="297"/>
      <c r="BIR35" s="297"/>
      <c r="BIS35" s="297"/>
      <c r="BIT35" s="297"/>
      <c r="BIU35" s="297"/>
      <c r="BIV35" s="297"/>
      <c r="BIW35" s="297"/>
      <c r="BIX35" s="297"/>
      <c r="BIY35" s="297"/>
      <c r="BIZ35" s="297"/>
      <c r="BJA35" s="297"/>
      <c r="BJB35" s="297"/>
      <c r="BJC35" s="297"/>
      <c r="BJD35" s="297"/>
      <c r="BJE35" s="297"/>
      <c r="BJF35" s="297"/>
      <c r="BJG35" s="297"/>
      <c r="BJH35" s="297"/>
      <c r="BJI35" s="297"/>
      <c r="BJJ35" s="297"/>
      <c r="BJK35" s="297"/>
      <c r="BJL35" s="297"/>
      <c r="BJM35" s="297"/>
      <c r="BJN35" s="297"/>
      <c r="BJO35" s="297"/>
      <c r="BJP35" s="297"/>
      <c r="BJQ35" s="297"/>
      <c r="BJR35" s="297"/>
      <c r="BJS35" s="297"/>
      <c r="BJT35" s="297"/>
      <c r="BJU35" s="297"/>
      <c r="BJV35" s="297"/>
      <c r="BJW35" s="297"/>
      <c r="BJX35" s="297"/>
      <c r="BJY35" s="297"/>
      <c r="BJZ35" s="297"/>
      <c r="BKA35" s="297"/>
      <c r="BKB35" s="297"/>
      <c r="BKC35" s="297"/>
      <c r="BKD35" s="297"/>
      <c r="BKE35" s="297"/>
      <c r="BKF35" s="297"/>
      <c r="BKG35" s="297"/>
      <c r="BKH35" s="297"/>
      <c r="BKI35" s="297"/>
      <c r="BKJ35" s="297"/>
      <c r="BKK35" s="297"/>
      <c r="BKL35" s="297"/>
      <c r="BKM35" s="297"/>
      <c r="BKN35" s="297"/>
      <c r="BKO35" s="297"/>
      <c r="BKP35" s="297"/>
      <c r="BKQ35" s="297"/>
      <c r="BKR35" s="297"/>
      <c r="BKS35" s="297"/>
    </row>
    <row r="36" spans="1:16363" ht="15.75" customHeight="1" thickTop="1" thickBot="1" x14ac:dyDescent="0.3">
      <c r="A36" s="299" t="s">
        <v>624</v>
      </c>
      <c r="B36" s="423" t="s">
        <v>617</v>
      </c>
      <c r="C36" s="297" t="s">
        <v>557</v>
      </c>
      <c r="D36" s="325">
        <v>1</v>
      </c>
      <c r="E36" s="325">
        <v>0</v>
      </c>
      <c r="F36" s="479"/>
      <c r="G36" s="341"/>
      <c r="H36" s="370"/>
      <c r="I36" s="533">
        <v>0</v>
      </c>
      <c r="J36" s="333">
        <v>375</v>
      </c>
      <c r="K36" s="330">
        <v>0</v>
      </c>
      <c r="L36" s="309">
        <f t="shared" si="0"/>
        <v>0</v>
      </c>
      <c r="M36" s="351" t="s">
        <v>136</v>
      </c>
      <c r="N36" s="479"/>
      <c r="O36" s="341"/>
      <c r="P36" s="303"/>
      <c r="Q36" s="370"/>
      <c r="R36" s="533">
        <v>0</v>
      </c>
      <c r="S36" s="333">
        <v>375</v>
      </c>
      <c r="T36" s="330">
        <v>0</v>
      </c>
      <c r="U36" s="309">
        <f t="shared" si="1"/>
        <v>0</v>
      </c>
      <c r="V36" s="351" t="s">
        <v>136</v>
      </c>
      <c r="W36" s="341"/>
      <c r="X36" s="303"/>
      <c r="Y36" s="370"/>
      <c r="Z36" s="533">
        <v>0</v>
      </c>
      <c r="AA36" s="333">
        <v>375</v>
      </c>
      <c r="AB36" s="330">
        <v>0</v>
      </c>
      <c r="AC36" s="309">
        <f t="shared" si="2"/>
        <v>0</v>
      </c>
      <c r="AD36" s="351" t="s">
        <v>136</v>
      </c>
      <c r="AE36" s="341" t="s">
        <v>664</v>
      </c>
      <c r="AF36" s="404">
        <v>0.05</v>
      </c>
      <c r="AG36" s="370"/>
      <c r="AH36" s="424">
        <f>$AF$2*AF36</f>
        <v>0.65</v>
      </c>
      <c r="AI36" s="410">
        <v>375</v>
      </c>
      <c r="AJ36" s="330">
        <v>0</v>
      </c>
      <c r="AK36" s="309">
        <f t="shared" si="3"/>
        <v>0</v>
      </c>
      <c r="AL36" s="351" t="s">
        <v>136</v>
      </c>
      <c r="AM36" s="341" t="s">
        <v>664</v>
      </c>
      <c r="AN36" s="303"/>
      <c r="AO36" s="370"/>
      <c r="AP36" s="330">
        <v>0</v>
      </c>
      <c r="AQ36" s="333">
        <v>375</v>
      </c>
      <c r="AR36" s="330">
        <v>0</v>
      </c>
      <c r="AS36" s="309">
        <f t="shared" si="4"/>
        <v>0</v>
      </c>
      <c r="AT36" s="351" t="s">
        <v>136</v>
      </c>
      <c r="AU36" s="486"/>
      <c r="ZA36" s="297"/>
      <c r="ZB36" s="297"/>
      <c r="ZC36" s="297"/>
      <c r="ZD36" s="297"/>
      <c r="ZE36" s="297"/>
      <c r="ZF36" s="297"/>
      <c r="ZG36" s="297"/>
      <c r="ZH36" s="297"/>
      <c r="ZI36" s="297"/>
      <c r="ZJ36" s="297"/>
      <c r="ZK36" s="297"/>
      <c r="ZL36" s="297"/>
      <c r="ZM36" s="297"/>
      <c r="ZN36" s="297"/>
      <c r="ZO36" s="297"/>
      <c r="ZP36" s="297"/>
      <c r="ZQ36" s="297"/>
      <c r="ZR36" s="297"/>
      <c r="ZS36" s="297"/>
      <c r="ZT36" s="297"/>
      <c r="ZU36" s="297"/>
      <c r="ZV36" s="297"/>
      <c r="ZW36" s="297"/>
      <c r="ZX36" s="297"/>
      <c r="ZY36" s="297"/>
      <c r="ZZ36" s="297"/>
      <c r="AAA36" s="297"/>
      <c r="AAB36" s="297"/>
      <c r="AAC36" s="297"/>
      <c r="AAD36" s="297"/>
      <c r="AAE36" s="297"/>
      <c r="AAF36" s="297"/>
      <c r="AAG36" s="297"/>
      <c r="AAH36" s="297"/>
      <c r="AAI36" s="297"/>
      <c r="AAJ36" s="297"/>
      <c r="AAK36" s="297"/>
      <c r="AAL36" s="297"/>
      <c r="AAM36" s="297"/>
      <c r="AAN36" s="297"/>
      <c r="AAO36" s="297"/>
      <c r="AAP36" s="297"/>
      <c r="AAQ36" s="297"/>
      <c r="AAR36" s="297"/>
      <c r="AAS36" s="297"/>
      <c r="AAT36" s="297"/>
      <c r="AAU36" s="297"/>
      <c r="AAV36" s="297"/>
      <c r="AAW36" s="297"/>
      <c r="AAX36" s="297"/>
      <c r="AAY36" s="297"/>
      <c r="AAZ36" s="297"/>
      <c r="ABA36" s="297"/>
      <c r="ABB36" s="297"/>
      <c r="ABC36" s="297"/>
      <c r="ABD36" s="297"/>
      <c r="ABE36" s="297"/>
      <c r="ABF36" s="297"/>
      <c r="ABG36" s="297"/>
      <c r="ABH36" s="297"/>
      <c r="ABI36" s="297"/>
      <c r="ABJ36" s="297"/>
      <c r="ABK36" s="297"/>
      <c r="ABL36" s="297"/>
      <c r="ABM36" s="297"/>
      <c r="ABN36" s="297"/>
      <c r="ABO36" s="297"/>
      <c r="ABP36" s="297"/>
      <c r="ABQ36" s="297"/>
      <c r="ABR36" s="297"/>
      <c r="ABS36" s="297"/>
      <c r="ABT36" s="297"/>
      <c r="ABU36" s="297"/>
      <c r="ABV36" s="297"/>
      <c r="ABW36" s="297"/>
      <c r="ABX36" s="297"/>
      <c r="ABY36" s="297"/>
      <c r="ABZ36" s="297"/>
      <c r="ACA36" s="297"/>
      <c r="ACB36" s="297"/>
      <c r="ACC36" s="297"/>
      <c r="ACD36" s="297"/>
      <c r="ACE36" s="297"/>
      <c r="ACF36" s="297"/>
      <c r="ACG36" s="297"/>
      <c r="ACH36" s="297"/>
      <c r="ACI36" s="297"/>
      <c r="ACJ36" s="297"/>
      <c r="ACK36" s="297"/>
      <c r="ACL36" s="297"/>
      <c r="ACM36" s="297"/>
      <c r="ACN36" s="297"/>
      <c r="ACO36" s="297"/>
      <c r="ACP36" s="297"/>
      <c r="ACQ36" s="297"/>
      <c r="ACR36" s="297"/>
      <c r="ACS36" s="297"/>
      <c r="ACT36" s="297"/>
      <c r="ACU36" s="297"/>
      <c r="ACV36" s="297"/>
      <c r="ACW36" s="297"/>
      <c r="ACX36" s="297"/>
      <c r="ACY36" s="297"/>
      <c r="ACZ36" s="297"/>
      <c r="ADA36" s="297"/>
      <c r="ADB36" s="297"/>
      <c r="ADC36" s="297"/>
      <c r="ADD36" s="297"/>
      <c r="ADE36" s="297"/>
      <c r="ADF36" s="297"/>
      <c r="ADG36" s="297"/>
      <c r="ADH36" s="297"/>
      <c r="ADI36" s="297"/>
      <c r="ADJ36" s="297"/>
      <c r="ADK36" s="297"/>
      <c r="ADL36" s="297"/>
      <c r="ADM36" s="297"/>
      <c r="ADN36" s="297"/>
      <c r="ADO36" s="297"/>
      <c r="ADP36" s="297"/>
      <c r="ADQ36" s="297"/>
      <c r="ADR36" s="297"/>
      <c r="ADS36" s="297"/>
      <c r="ADT36" s="297"/>
      <c r="ADU36" s="297"/>
      <c r="ADV36" s="297"/>
      <c r="ADW36" s="297"/>
      <c r="ADX36" s="297"/>
      <c r="ADY36" s="297"/>
      <c r="ADZ36" s="297"/>
      <c r="AEA36" s="297"/>
      <c r="AEB36" s="297"/>
      <c r="AEC36" s="297"/>
      <c r="AED36" s="297"/>
      <c r="AEE36" s="297"/>
      <c r="AEF36" s="297"/>
      <c r="AEG36" s="297"/>
      <c r="AEH36" s="297"/>
      <c r="AEI36" s="297"/>
      <c r="AEJ36" s="297"/>
      <c r="AEK36" s="297"/>
      <c r="AEL36" s="297"/>
      <c r="AEM36" s="297"/>
      <c r="AEN36" s="297"/>
      <c r="AEO36" s="297"/>
      <c r="AEP36" s="297"/>
      <c r="AEQ36" s="297"/>
      <c r="AER36" s="297"/>
      <c r="AES36" s="297"/>
      <c r="AET36" s="297"/>
      <c r="AEU36" s="297"/>
      <c r="AEV36" s="297"/>
      <c r="AEW36" s="297"/>
      <c r="AEX36" s="297"/>
      <c r="AEY36" s="297"/>
      <c r="AEZ36" s="297"/>
      <c r="AFA36" s="297"/>
      <c r="AFB36" s="297"/>
      <c r="AFC36" s="297"/>
      <c r="AFD36" s="297"/>
      <c r="AFE36" s="297"/>
      <c r="AFF36" s="297"/>
      <c r="AFG36" s="297"/>
      <c r="AFH36" s="297"/>
      <c r="AFI36" s="297"/>
      <c r="AFJ36" s="297"/>
      <c r="AFK36" s="297"/>
      <c r="AFL36" s="297"/>
      <c r="AFM36" s="297"/>
      <c r="AFN36" s="297"/>
      <c r="AFO36" s="297"/>
      <c r="AFP36" s="297"/>
      <c r="AFQ36" s="297"/>
      <c r="AFR36" s="297"/>
      <c r="AFS36" s="297"/>
      <c r="AFT36" s="297"/>
      <c r="AFU36" s="297"/>
      <c r="AFV36" s="297"/>
      <c r="AFW36" s="297"/>
      <c r="AFX36" s="297"/>
      <c r="AFY36" s="297"/>
      <c r="AFZ36" s="297"/>
      <c r="AGA36" s="297"/>
      <c r="AGB36" s="297"/>
      <c r="AGC36" s="297"/>
      <c r="AGD36" s="297"/>
      <c r="AGE36" s="297"/>
      <c r="AGF36" s="297"/>
      <c r="AGG36" s="297"/>
      <c r="AGH36" s="297"/>
      <c r="AGI36" s="297"/>
      <c r="AGJ36" s="297"/>
      <c r="AGK36" s="297"/>
      <c r="AGL36" s="297"/>
      <c r="AGM36" s="297"/>
      <c r="AGN36" s="297"/>
      <c r="AGO36" s="297"/>
      <c r="AGP36" s="297"/>
      <c r="AGQ36" s="297"/>
      <c r="AGR36" s="297"/>
      <c r="AGS36" s="297"/>
      <c r="AGT36" s="297"/>
      <c r="AGU36" s="297"/>
      <c r="AGV36" s="297"/>
      <c r="AGW36" s="297"/>
      <c r="AGX36" s="297"/>
      <c r="AGY36" s="297"/>
      <c r="AGZ36" s="297"/>
      <c r="AHA36" s="297"/>
      <c r="AHB36" s="297"/>
      <c r="AHC36" s="297"/>
      <c r="AHD36" s="297"/>
      <c r="AHE36" s="297"/>
      <c r="AHF36" s="297"/>
      <c r="AHG36" s="297"/>
      <c r="AHH36" s="297"/>
      <c r="AHI36" s="297"/>
      <c r="AHJ36" s="297"/>
      <c r="AHK36" s="297"/>
      <c r="AHL36" s="297"/>
      <c r="AHM36" s="297"/>
      <c r="AHN36" s="297"/>
      <c r="AHO36" s="297"/>
      <c r="AHP36" s="297"/>
      <c r="AHQ36" s="297"/>
      <c r="AHR36" s="297"/>
      <c r="AHS36" s="297"/>
      <c r="AHT36" s="297"/>
      <c r="AHU36" s="297"/>
      <c r="AHV36" s="297"/>
      <c r="AHW36" s="297"/>
      <c r="AHX36" s="297"/>
      <c r="AHY36" s="297"/>
      <c r="AHZ36" s="297"/>
      <c r="AIA36" s="297"/>
      <c r="AIB36" s="297"/>
      <c r="AIC36" s="297"/>
      <c r="AID36" s="297"/>
      <c r="AIE36" s="297"/>
      <c r="AIF36" s="297"/>
      <c r="AIG36" s="297"/>
      <c r="AIH36" s="297"/>
      <c r="AII36" s="297"/>
      <c r="AIJ36" s="297"/>
      <c r="AIK36" s="297"/>
      <c r="AIL36" s="297"/>
      <c r="AIM36" s="297"/>
      <c r="AIN36" s="297"/>
      <c r="AIO36" s="297"/>
      <c r="AIP36" s="297"/>
      <c r="AIQ36" s="297"/>
      <c r="AIR36" s="297"/>
      <c r="AIS36" s="297"/>
      <c r="AIT36" s="297"/>
      <c r="AIU36" s="297"/>
      <c r="AIV36" s="297"/>
      <c r="AIW36" s="297"/>
      <c r="AIX36" s="297"/>
      <c r="AIY36" s="297"/>
      <c r="AIZ36" s="297"/>
      <c r="AJA36" s="297"/>
      <c r="AJB36" s="297"/>
      <c r="AJC36" s="297"/>
      <c r="AJD36" s="297"/>
      <c r="AJE36" s="297"/>
      <c r="AJF36" s="297"/>
      <c r="AJG36" s="297"/>
      <c r="AJH36" s="297"/>
      <c r="AJI36" s="297"/>
      <c r="AJJ36" s="297"/>
      <c r="AJK36" s="297"/>
      <c r="AJL36" s="297"/>
      <c r="AJM36" s="297"/>
      <c r="AJN36" s="297"/>
      <c r="AJO36" s="297"/>
      <c r="AJP36" s="297"/>
      <c r="AJQ36" s="297"/>
      <c r="AJR36" s="297"/>
      <c r="AJS36" s="297"/>
      <c r="AJT36" s="297"/>
      <c r="AJU36" s="297"/>
      <c r="AJV36" s="297"/>
      <c r="AJW36" s="297"/>
      <c r="AJX36" s="297"/>
      <c r="AJY36" s="297"/>
      <c r="AJZ36" s="297"/>
      <c r="AKA36" s="297"/>
      <c r="AKB36" s="297"/>
      <c r="AKC36" s="297"/>
      <c r="AKD36" s="297"/>
      <c r="AKE36" s="297"/>
      <c r="AKF36" s="297"/>
      <c r="AKG36" s="297"/>
      <c r="AKH36" s="297"/>
      <c r="AKI36" s="297"/>
      <c r="AKJ36" s="297"/>
      <c r="AKK36" s="297"/>
      <c r="AKL36" s="297"/>
      <c r="AKM36" s="297"/>
      <c r="AKN36" s="297"/>
      <c r="AKO36" s="297"/>
      <c r="AKP36" s="297"/>
      <c r="AKQ36" s="297"/>
      <c r="AKR36" s="297"/>
      <c r="AKS36" s="297"/>
      <c r="AKT36" s="297"/>
      <c r="AKU36" s="297"/>
      <c r="AKV36" s="297"/>
      <c r="AKW36" s="297"/>
      <c r="AKX36" s="297"/>
      <c r="AKY36" s="297"/>
      <c r="AKZ36" s="297"/>
      <c r="ALA36" s="297"/>
      <c r="ALB36" s="297"/>
      <c r="ALC36" s="297"/>
      <c r="ALD36" s="297"/>
      <c r="ALE36" s="297"/>
      <c r="ALF36" s="297"/>
      <c r="ALG36" s="297"/>
      <c r="ALH36" s="297"/>
      <c r="ALI36" s="297"/>
      <c r="ALJ36" s="297"/>
      <c r="ALK36" s="297"/>
      <c r="ALL36" s="297"/>
      <c r="ALM36" s="297"/>
      <c r="ALN36" s="297"/>
      <c r="ALO36" s="297"/>
      <c r="ALP36" s="297"/>
      <c r="ALQ36" s="297"/>
      <c r="ALR36" s="297"/>
      <c r="ALS36" s="297"/>
      <c r="ALT36" s="297"/>
      <c r="ALU36" s="297"/>
      <c r="ALV36" s="297"/>
      <c r="ALW36" s="297"/>
      <c r="ALX36" s="297"/>
      <c r="ALY36" s="297"/>
      <c r="ALZ36" s="297"/>
      <c r="AMA36" s="297"/>
      <c r="AMB36" s="297"/>
      <c r="AMC36" s="297"/>
      <c r="AMD36" s="297"/>
      <c r="AME36" s="297"/>
      <c r="AMF36" s="297"/>
      <c r="AMG36" s="297"/>
      <c r="AMH36" s="297"/>
      <c r="AMI36" s="297"/>
      <c r="AMJ36" s="297"/>
      <c r="AMK36" s="297"/>
      <c r="AML36" s="297"/>
      <c r="AMM36" s="297"/>
      <c r="AMN36" s="297"/>
      <c r="AMO36" s="297"/>
      <c r="AMP36" s="297"/>
      <c r="AMQ36" s="297"/>
      <c r="AMR36" s="297"/>
      <c r="AMS36" s="297"/>
      <c r="AMT36" s="297"/>
      <c r="AMU36" s="297"/>
      <c r="AMV36" s="297"/>
      <c r="AMW36" s="297"/>
      <c r="AMX36" s="297"/>
      <c r="AMY36" s="297"/>
      <c r="AMZ36" s="297"/>
      <c r="ANA36" s="297"/>
      <c r="ANB36" s="297"/>
      <c r="ANC36" s="297"/>
      <c r="AND36" s="297"/>
      <c r="ANE36" s="297"/>
      <c r="ANF36" s="297"/>
      <c r="ANG36" s="297"/>
      <c r="ANH36" s="297"/>
      <c r="ANI36" s="297"/>
      <c r="ANJ36" s="297"/>
      <c r="ANK36" s="297"/>
      <c r="ANL36" s="297"/>
      <c r="ANM36" s="297"/>
      <c r="ANN36" s="297"/>
      <c r="ANO36" s="297"/>
      <c r="ANP36" s="297"/>
      <c r="ANQ36" s="297"/>
      <c r="ANR36" s="297"/>
      <c r="ANS36" s="297"/>
      <c r="ANT36" s="297"/>
      <c r="ANU36" s="297"/>
      <c r="ANV36" s="297"/>
      <c r="ANW36" s="297"/>
      <c r="ANX36" s="297"/>
      <c r="ANY36" s="297"/>
      <c r="ANZ36" s="297"/>
      <c r="AOA36" s="297"/>
      <c r="AOB36" s="297"/>
      <c r="AOC36" s="297"/>
      <c r="AOD36" s="297"/>
      <c r="AOE36" s="297"/>
      <c r="AOF36" s="297"/>
      <c r="AOG36" s="297"/>
      <c r="AOH36" s="297"/>
      <c r="AOI36" s="297"/>
      <c r="AOJ36" s="297"/>
      <c r="AOK36" s="297"/>
      <c r="AOL36" s="297"/>
      <c r="AOM36" s="297"/>
      <c r="AON36" s="297"/>
      <c r="AOO36" s="297"/>
      <c r="AOP36" s="297"/>
      <c r="AOQ36" s="297"/>
      <c r="AOR36" s="297"/>
      <c r="AOS36" s="297"/>
      <c r="AOT36" s="297"/>
      <c r="AOU36" s="297"/>
      <c r="AOV36" s="297"/>
      <c r="AOW36" s="297"/>
      <c r="AOX36" s="297"/>
      <c r="AOY36" s="297"/>
      <c r="AOZ36" s="297"/>
      <c r="APA36" s="297"/>
      <c r="APB36" s="297"/>
      <c r="APC36" s="297"/>
      <c r="APD36" s="297"/>
      <c r="APE36" s="297"/>
      <c r="APF36" s="297"/>
      <c r="APG36" s="297"/>
      <c r="APH36" s="297"/>
      <c r="API36" s="297"/>
      <c r="APJ36" s="297"/>
      <c r="APK36" s="297"/>
      <c r="APL36" s="297"/>
      <c r="APM36" s="297"/>
      <c r="APN36" s="297"/>
      <c r="APO36" s="297"/>
      <c r="APP36" s="297"/>
      <c r="APQ36" s="297"/>
      <c r="APR36" s="297"/>
      <c r="APS36" s="297"/>
      <c r="APT36" s="297"/>
      <c r="APU36" s="297"/>
      <c r="APV36" s="297"/>
      <c r="APW36" s="297"/>
      <c r="APX36" s="297"/>
      <c r="APY36" s="297"/>
      <c r="APZ36" s="297"/>
      <c r="AQA36" s="297"/>
      <c r="AQB36" s="297"/>
      <c r="AQC36" s="297"/>
      <c r="AQD36" s="297"/>
      <c r="AQE36" s="297"/>
      <c r="AQF36" s="297"/>
      <c r="AQG36" s="297"/>
      <c r="AQH36" s="297"/>
      <c r="AQI36" s="297"/>
      <c r="AQJ36" s="297"/>
      <c r="AQK36" s="297"/>
      <c r="AQL36" s="297"/>
      <c r="AQM36" s="297"/>
      <c r="AQN36" s="297"/>
      <c r="AQO36" s="297"/>
      <c r="AQP36" s="297"/>
      <c r="AQQ36" s="297"/>
      <c r="AQR36" s="297"/>
      <c r="AQS36" s="297"/>
      <c r="AQT36" s="297"/>
      <c r="AQU36" s="297"/>
      <c r="AQV36" s="297"/>
      <c r="AQW36" s="297"/>
      <c r="AQX36" s="297"/>
      <c r="AQY36" s="297"/>
      <c r="AQZ36" s="297"/>
      <c r="ARA36" s="297"/>
      <c r="ARB36" s="297"/>
      <c r="ARC36" s="297"/>
      <c r="ARD36" s="297"/>
      <c r="ARE36" s="297"/>
      <c r="ARF36" s="297"/>
      <c r="ARG36" s="297"/>
      <c r="ARH36" s="297"/>
      <c r="ARI36" s="297"/>
      <c r="ARJ36" s="297"/>
      <c r="ARK36" s="297"/>
      <c r="ARL36" s="297"/>
      <c r="ARM36" s="297"/>
      <c r="ARN36" s="297"/>
      <c r="ARO36" s="297"/>
      <c r="ARP36" s="297"/>
      <c r="ARQ36" s="297"/>
      <c r="ARR36" s="297"/>
      <c r="ARS36" s="297"/>
      <c r="ART36" s="297"/>
      <c r="ARU36" s="297"/>
      <c r="ARV36" s="297"/>
      <c r="ARW36" s="297"/>
      <c r="ARX36" s="297"/>
      <c r="ARY36" s="297"/>
      <c r="ARZ36" s="297"/>
      <c r="ASA36" s="297"/>
      <c r="ASB36" s="297"/>
      <c r="ASC36" s="297"/>
      <c r="ASD36" s="297"/>
      <c r="ASE36" s="297"/>
      <c r="ASF36" s="297"/>
      <c r="ASG36" s="297"/>
      <c r="ASH36" s="297"/>
      <c r="ASI36" s="297"/>
      <c r="ASJ36" s="297"/>
      <c r="ASK36" s="297"/>
      <c r="ASL36" s="297"/>
      <c r="ASM36" s="297"/>
      <c r="ASN36" s="297"/>
      <c r="ASO36" s="297"/>
      <c r="ASP36" s="297"/>
      <c r="ASQ36" s="297"/>
      <c r="ASR36" s="297"/>
      <c r="ASS36" s="297"/>
      <c r="AST36" s="297"/>
      <c r="ASU36" s="297"/>
      <c r="ASV36" s="297"/>
      <c r="ASW36" s="297"/>
      <c r="ASX36" s="297"/>
      <c r="ASY36" s="297"/>
      <c r="ASZ36" s="297"/>
      <c r="ATA36" s="297"/>
      <c r="ATB36" s="297"/>
      <c r="ATC36" s="297"/>
      <c r="ATD36" s="297"/>
      <c r="ATE36" s="297"/>
      <c r="ATF36" s="297"/>
      <c r="ATG36" s="297"/>
      <c r="ATH36" s="297"/>
      <c r="ATI36" s="297"/>
      <c r="ATJ36" s="297"/>
      <c r="ATK36" s="297"/>
      <c r="ATL36" s="297"/>
      <c r="ATM36" s="297"/>
      <c r="ATN36" s="297"/>
      <c r="ATO36" s="297"/>
      <c r="ATP36" s="297"/>
      <c r="ATQ36" s="297"/>
      <c r="ATR36" s="297"/>
      <c r="ATS36" s="297"/>
      <c r="ATT36" s="297"/>
      <c r="ATU36" s="297"/>
      <c r="ATV36" s="297"/>
      <c r="ATW36" s="297"/>
      <c r="ATX36" s="297"/>
      <c r="ATY36" s="297"/>
      <c r="ATZ36" s="297"/>
      <c r="AUA36" s="297"/>
      <c r="AUB36" s="297"/>
      <c r="AUC36" s="297"/>
      <c r="AUD36" s="297"/>
      <c r="AUE36" s="297"/>
      <c r="AUF36" s="297"/>
      <c r="AUG36" s="297"/>
      <c r="AUH36" s="297"/>
      <c r="AUI36" s="297"/>
      <c r="AUJ36" s="297"/>
      <c r="AUK36" s="297"/>
      <c r="AUL36" s="297"/>
      <c r="AUM36" s="297"/>
      <c r="AUN36" s="297"/>
      <c r="AUO36" s="297"/>
      <c r="AUP36" s="297"/>
      <c r="AUQ36" s="297"/>
      <c r="AUR36" s="297"/>
      <c r="AUS36" s="297"/>
      <c r="AUT36" s="297"/>
      <c r="AUU36" s="297"/>
      <c r="AUV36" s="297"/>
      <c r="AUW36" s="297"/>
      <c r="AUX36" s="297"/>
      <c r="AUY36" s="297"/>
      <c r="AUZ36" s="297"/>
      <c r="AVA36" s="297"/>
      <c r="AVB36" s="297"/>
      <c r="AVC36" s="297"/>
      <c r="AVD36" s="297"/>
      <c r="AVE36" s="297"/>
      <c r="AVF36" s="297"/>
      <c r="AVG36" s="297"/>
      <c r="AVH36" s="297"/>
      <c r="AVI36" s="297"/>
      <c r="AVJ36" s="297"/>
      <c r="AVK36" s="297"/>
      <c r="AVL36" s="297"/>
      <c r="AVM36" s="297"/>
      <c r="AVN36" s="297"/>
      <c r="AVO36" s="297"/>
      <c r="AVP36" s="297"/>
      <c r="AVQ36" s="297"/>
      <c r="AVR36" s="297"/>
      <c r="AVS36" s="297"/>
      <c r="AVT36" s="297"/>
      <c r="AVU36" s="297"/>
      <c r="AVV36" s="297"/>
      <c r="AVW36" s="297"/>
      <c r="AVX36" s="297"/>
      <c r="AVY36" s="297"/>
      <c r="AVZ36" s="297"/>
      <c r="AWA36" s="297"/>
      <c r="AWB36" s="297"/>
      <c r="AWC36" s="297"/>
      <c r="AWD36" s="297"/>
      <c r="AWE36" s="297"/>
      <c r="AWF36" s="297"/>
      <c r="AWG36" s="297"/>
      <c r="AWH36" s="297"/>
      <c r="AWI36" s="297"/>
      <c r="AWJ36" s="297"/>
      <c r="AWK36" s="297"/>
      <c r="AWL36" s="297"/>
      <c r="AWM36" s="297"/>
      <c r="AWN36" s="297"/>
      <c r="AWO36" s="297"/>
      <c r="AWP36" s="297"/>
      <c r="AWQ36" s="297"/>
      <c r="AWR36" s="297"/>
      <c r="AWS36" s="297"/>
      <c r="AWT36" s="297"/>
      <c r="AWU36" s="297"/>
      <c r="AWV36" s="297"/>
      <c r="AWW36" s="297"/>
      <c r="AWX36" s="297"/>
      <c r="AWY36" s="297"/>
      <c r="AWZ36" s="297"/>
      <c r="AXA36" s="297"/>
      <c r="AXB36" s="297"/>
      <c r="AXC36" s="297"/>
      <c r="AXD36" s="297"/>
      <c r="AXE36" s="297"/>
      <c r="AXF36" s="297"/>
      <c r="AXG36" s="297"/>
      <c r="AXH36" s="297"/>
      <c r="AXI36" s="297"/>
      <c r="AXJ36" s="297"/>
      <c r="AXK36" s="297"/>
      <c r="AXL36" s="297"/>
      <c r="AXM36" s="297"/>
      <c r="AXN36" s="297"/>
      <c r="AXO36" s="297"/>
      <c r="AXP36" s="297"/>
      <c r="AXQ36" s="297"/>
      <c r="AXR36" s="297"/>
      <c r="AXS36" s="297"/>
      <c r="AXT36" s="297"/>
      <c r="AXU36" s="297"/>
      <c r="AXV36" s="297"/>
      <c r="AXW36" s="297"/>
      <c r="AXX36" s="297"/>
      <c r="AXY36" s="297"/>
      <c r="AXZ36" s="297"/>
      <c r="AYA36" s="297"/>
      <c r="AYB36" s="297"/>
      <c r="AYC36" s="297"/>
      <c r="AYD36" s="297"/>
      <c r="AYE36" s="297"/>
      <c r="AYF36" s="297"/>
      <c r="AYG36" s="297"/>
      <c r="AYH36" s="297"/>
      <c r="AYI36" s="297"/>
      <c r="AYJ36" s="297"/>
      <c r="AYK36" s="297"/>
      <c r="AYL36" s="297"/>
      <c r="AYM36" s="297"/>
      <c r="AYN36" s="297"/>
      <c r="AYO36" s="297"/>
      <c r="AYP36" s="297"/>
      <c r="AYQ36" s="297"/>
      <c r="AYR36" s="297"/>
      <c r="AYS36" s="297"/>
      <c r="AYT36" s="297"/>
      <c r="AYU36" s="297"/>
      <c r="AYV36" s="297"/>
      <c r="AYW36" s="297"/>
      <c r="AYX36" s="297"/>
      <c r="AYY36" s="297"/>
      <c r="AYZ36" s="297"/>
      <c r="AZA36" s="297"/>
      <c r="AZB36" s="297"/>
      <c r="AZC36" s="297"/>
      <c r="AZD36" s="297"/>
      <c r="AZE36" s="297"/>
      <c r="AZF36" s="297"/>
      <c r="AZG36" s="297"/>
      <c r="AZH36" s="297"/>
      <c r="AZI36" s="297"/>
      <c r="AZJ36" s="297"/>
      <c r="AZK36" s="297"/>
      <c r="AZL36" s="297"/>
      <c r="AZM36" s="297"/>
      <c r="AZN36" s="297"/>
      <c r="AZO36" s="297"/>
      <c r="AZP36" s="297"/>
      <c r="AZQ36" s="297"/>
      <c r="AZR36" s="297"/>
      <c r="AZS36" s="297"/>
      <c r="AZT36" s="297"/>
      <c r="AZU36" s="297"/>
      <c r="AZV36" s="297"/>
      <c r="AZW36" s="297"/>
      <c r="AZX36" s="297"/>
      <c r="AZY36" s="297"/>
      <c r="AZZ36" s="297"/>
      <c r="BAA36" s="297"/>
      <c r="BAB36" s="297"/>
      <c r="BAC36" s="297"/>
      <c r="BAD36" s="297"/>
      <c r="BAE36" s="297"/>
      <c r="BAF36" s="297"/>
      <c r="BAG36" s="297"/>
      <c r="BAH36" s="297"/>
      <c r="BAI36" s="297"/>
      <c r="BAJ36" s="297"/>
      <c r="BAK36" s="297"/>
      <c r="BAL36" s="297"/>
      <c r="BAM36" s="297"/>
      <c r="BAN36" s="297"/>
      <c r="BAO36" s="297"/>
      <c r="BAP36" s="297"/>
      <c r="BAQ36" s="297"/>
      <c r="BAR36" s="297"/>
      <c r="BAS36" s="297"/>
      <c r="BAT36" s="297"/>
      <c r="BAU36" s="297"/>
      <c r="BAV36" s="297"/>
      <c r="BAW36" s="297"/>
      <c r="BAX36" s="297"/>
      <c r="BAY36" s="297"/>
      <c r="BAZ36" s="297"/>
      <c r="BBA36" s="297"/>
      <c r="BBB36" s="297"/>
      <c r="BBC36" s="297"/>
      <c r="BBD36" s="297"/>
      <c r="BBE36" s="297"/>
      <c r="BBF36" s="297"/>
      <c r="BBG36" s="297"/>
      <c r="BBH36" s="297"/>
      <c r="BBI36" s="297"/>
      <c r="BBJ36" s="297"/>
      <c r="BBK36" s="297"/>
      <c r="BBL36" s="297"/>
      <c r="BBM36" s="297"/>
      <c r="BBN36" s="297"/>
      <c r="BBO36" s="297"/>
      <c r="BBP36" s="297"/>
      <c r="BBQ36" s="297"/>
      <c r="BBR36" s="297"/>
      <c r="BBS36" s="297"/>
      <c r="BBT36" s="297"/>
      <c r="BBU36" s="297"/>
      <c r="BBV36" s="297"/>
      <c r="BBW36" s="297"/>
      <c r="BBX36" s="297"/>
      <c r="BBY36" s="297"/>
      <c r="BBZ36" s="297"/>
      <c r="BCA36" s="297"/>
      <c r="BCB36" s="297"/>
      <c r="BCC36" s="297"/>
      <c r="BCD36" s="297"/>
      <c r="BCE36" s="297"/>
      <c r="BCF36" s="297"/>
      <c r="BCG36" s="297"/>
      <c r="BCH36" s="297"/>
      <c r="BCI36" s="297"/>
      <c r="BCJ36" s="297"/>
      <c r="BCK36" s="297"/>
      <c r="BCL36" s="297"/>
      <c r="BCM36" s="297"/>
      <c r="BCN36" s="297"/>
      <c r="BCO36" s="297"/>
      <c r="BCP36" s="297"/>
      <c r="BCQ36" s="297"/>
      <c r="BCR36" s="297"/>
      <c r="BCS36" s="297"/>
      <c r="BCT36" s="297"/>
      <c r="BCU36" s="297"/>
      <c r="BCV36" s="297"/>
      <c r="BCW36" s="297"/>
      <c r="BCX36" s="297"/>
      <c r="BCY36" s="297"/>
      <c r="BCZ36" s="297"/>
      <c r="BDA36" s="297"/>
      <c r="BDB36" s="297"/>
      <c r="BDC36" s="297"/>
      <c r="BDD36" s="297"/>
      <c r="BDE36" s="297"/>
      <c r="BDF36" s="297"/>
      <c r="BDG36" s="297"/>
      <c r="BDH36" s="297"/>
      <c r="BDI36" s="297"/>
      <c r="BDJ36" s="297"/>
      <c r="BDK36" s="297"/>
      <c r="BDL36" s="297"/>
      <c r="BDM36" s="297"/>
      <c r="BDN36" s="297"/>
      <c r="BDO36" s="297"/>
      <c r="BDP36" s="297"/>
      <c r="BDQ36" s="297"/>
      <c r="BDR36" s="297"/>
      <c r="BDS36" s="297"/>
      <c r="BDT36" s="297"/>
      <c r="BDU36" s="297"/>
      <c r="BDV36" s="297"/>
      <c r="BDW36" s="297"/>
      <c r="BDX36" s="297"/>
      <c r="BDY36" s="297"/>
      <c r="BDZ36" s="297"/>
      <c r="BEA36" s="297"/>
      <c r="BEB36" s="297"/>
      <c r="BEC36" s="297"/>
      <c r="BED36" s="297"/>
      <c r="BEE36" s="297"/>
      <c r="BEF36" s="297"/>
      <c r="BEG36" s="297"/>
      <c r="BEH36" s="297"/>
      <c r="BEI36" s="297"/>
      <c r="BEJ36" s="297"/>
      <c r="BEK36" s="297"/>
      <c r="BEL36" s="297"/>
      <c r="BEM36" s="297"/>
      <c r="BEN36" s="297"/>
      <c r="BEO36" s="297"/>
      <c r="BEP36" s="297"/>
      <c r="BEQ36" s="297"/>
      <c r="BER36" s="297"/>
      <c r="BES36" s="297"/>
      <c r="BET36" s="297"/>
      <c r="BEU36" s="297"/>
      <c r="BEV36" s="297"/>
      <c r="BEW36" s="297"/>
      <c r="BEX36" s="297"/>
      <c r="BEY36" s="297"/>
      <c r="BEZ36" s="297"/>
      <c r="BFA36" s="297"/>
      <c r="BFB36" s="297"/>
      <c r="BFC36" s="297"/>
      <c r="BFD36" s="297"/>
      <c r="BFE36" s="297"/>
      <c r="BFF36" s="297"/>
      <c r="BFG36" s="297"/>
      <c r="BFH36" s="297"/>
      <c r="BFI36" s="297"/>
      <c r="BFJ36" s="297"/>
      <c r="BFK36" s="297"/>
      <c r="BFL36" s="297"/>
      <c r="BFM36" s="297"/>
      <c r="BFN36" s="297"/>
      <c r="BFO36" s="297"/>
      <c r="BFP36" s="297"/>
      <c r="BFQ36" s="297"/>
      <c r="BFR36" s="297"/>
      <c r="BFS36" s="297"/>
      <c r="BFT36" s="297"/>
      <c r="BFU36" s="297"/>
      <c r="BFV36" s="297"/>
      <c r="BFW36" s="297"/>
      <c r="BFX36" s="297"/>
      <c r="BFY36" s="297"/>
      <c r="BFZ36" s="297"/>
      <c r="BGA36" s="297"/>
      <c r="BGB36" s="297"/>
      <c r="BGC36" s="297"/>
      <c r="BGD36" s="297"/>
      <c r="BGE36" s="297"/>
      <c r="BGF36" s="297"/>
      <c r="BGG36" s="297"/>
      <c r="BGH36" s="297"/>
      <c r="BGI36" s="297"/>
      <c r="BGJ36" s="297"/>
      <c r="BGK36" s="297"/>
      <c r="BGL36" s="297"/>
      <c r="BGM36" s="297"/>
      <c r="BGN36" s="297"/>
      <c r="BGO36" s="297"/>
      <c r="BGP36" s="297"/>
      <c r="BGQ36" s="297"/>
      <c r="BGR36" s="297"/>
      <c r="BGS36" s="297"/>
      <c r="BGT36" s="297"/>
      <c r="BGU36" s="297"/>
      <c r="BGV36" s="297"/>
      <c r="BGW36" s="297"/>
      <c r="BGX36" s="297"/>
      <c r="BGY36" s="297"/>
      <c r="BGZ36" s="297"/>
      <c r="BHA36" s="297"/>
      <c r="BHB36" s="297"/>
      <c r="BHC36" s="297"/>
      <c r="BHD36" s="297"/>
      <c r="BHE36" s="297"/>
      <c r="BHF36" s="297"/>
      <c r="BHG36" s="297"/>
      <c r="BHH36" s="297"/>
      <c r="BHI36" s="297"/>
      <c r="BHJ36" s="297"/>
      <c r="BHK36" s="297"/>
      <c r="BHL36" s="297"/>
      <c r="BHM36" s="297"/>
      <c r="BHN36" s="297"/>
      <c r="BHO36" s="297"/>
      <c r="BHP36" s="297"/>
      <c r="BHQ36" s="297"/>
      <c r="BHR36" s="297"/>
      <c r="BHS36" s="297"/>
      <c r="BHT36" s="297"/>
      <c r="BHU36" s="297"/>
      <c r="BHV36" s="297"/>
      <c r="BHW36" s="297"/>
      <c r="BHX36" s="297"/>
      <c r="BHY36" s="297"/>
      <c r="BHZ36" s="297"/>
      <c r="BIA36" s="297"/>
      <c r="BIB36" s="297"/>
      <c r="BIC36" s="297"/>
      <c r="BID36" s="297"/>
      <c r="BIE36" s="297"/>
      <c r="BIF36" s="297"/>
      <c r="BIG36" s="297"/>
      <c r="BIH36" s="297"/>
      <c r="BII36" s="297"/>
      <c r="BIJ36" s="297"/>
      <c r="BIK36" s="297"/>
      <c r="BIL36" s="297"/>
      <c r="BIM36" s="297"/>
      <c r="BIN36" s="297"/>
      <c r="BIO36" s="297"/>
      <c r="BIP36" s="297"/>
      <c r="BIQ36" s="297"/>
      <c r="BIR36" s="297"/>
      <c r="BIS36" s="297"/>
      <c r="BIT36" s="297"/>
      <c r="BIU36" s="297"/>
      <c r="BIV36" s="297"/>
      <c r="BIW36" s="297"/>
      <c r="BIX36" s="297"/>
      <c r="BIY36" s="297"/>
      <c r="BIZ36" s="297"/>
      <c r="BJA36" s="297"/>
      <c r="BJB36" s="297"/>
      <c r="BJC36" s="297"/>
      <c r="BJD36" s="297"/>
      <c r="BJE36" s="297"/>
      <c r="BJF36" s="297"/>
      <c r="BJG36" s="297"/>
      <c r="BJH36" s="297"/>
      <c r="BJI36" s="297"/>
      <c r="BJJ36" s="297"/>
      <c r="BJK36" s="297"/>
      <c r="BJL36" s="297"/>
      <c r="BJM36" s="297"/>
      <c r="BJN36" s="297"/>
      <c r="BJO36" s="297"/>
      <c r="BJP36" s="297"/>
      <c r="BJQ36" s="297"/>
      <c r="BJR36" s="297"/>
      <c r="BJS36" s="297"/>
      <c r="BJT36" s="297"/>
      <c r="BJU36" s="297"/>
      <c r="BJV36" s="297"/>
      <c r="BJW36" s="297"/>
      <c r="BJX36" s="297"/>
      <c r="BJY36" s="297"/>
      <c r="BJZ36" s="297"/>
      <c r="BKA36" s="297"/>
      <c r="BKB36" s="297"/>
      <c r="BKC36" s="297"/>
      <c r="BKD36" s="297"/>
      <c r="BKE36" s="297"/>
      <c r="BKF36" s="297"/>
      <c r="BKG36" s="297"/>
      <c r="BKH36" s="297"/>
      <c r="BKI36" s="297"/>
      <c r="BKJ36" s="297"/>
      <c r="BKK36" s="297"/>
      <c r="BKL36" s="297"/>
      <c r="BKM36" s="297"/>
      <c r="BKN36" s="297"/>
      <c r="BKO36" s="297"/>
      <c r="BKP36" s="297"/>
      <c r="BKQ36" s="297"/>
      <c r="BKR36" s="297"/>
      <c r="BKS36" s="297"/>
    </row>
    <row r="37" spans="1:16363" s="306" customFormat="1" ht="15.75" customHeight="1" thickTop="1" thickBot="1" x14ac:dyDescent="0.35">
      <c r="A37" s="299" t="s">
        <v>624</v>
      </c>
      <c r="B37" s="423" t="s">
        <v>617</v>
      </c>
      <c r="C37" s="297" t="s">
        <v>557</v>
      </c>
      <c r="D37" s="325">
        <v>1</v>
      </c>
      <c r="E37" s="325">
        <v>1</v>
      </c>
      <c r="F37" s="480"/>
      <c r="G37" s="341"/>
      <c r="H37" s="370"/>
      <c r="I37" s="333" t="s">
        <v>136</v>
      </c>
      <c r="J37" s="333" t="s">
        <v>136</v>
      </c>
      <c r="K37" s="340">
        <v>1</v>
      </c>
      <c r="L37" s="309">
        <f t="shared" si="0"/>
        <v>0</v>
      </c>
      <c r="M37" s="351">
        <v>1.1299999999999999</v>
      </c>
      <c r="N37" s="480"/>
      <c r="O37" s="341"/>
      <c r="P37" s="303"/>
      <c r="Q37" s="370"/>
      <c r="R37" s="333" t="s">
        <v>136</v>
      </c>
      <c r="S37" s="333" t="s">
        <v>136</v>
      </c>
      <c r="T37" s="340">
        <v>1</v>
      </c>
      <c r="U37" s="309">
        <f t="shared" si="1"/>
        <v>0</v>
      </c>
      <c r="V37" s="351">
        <v>1.1299999999999999</v>
      </c>
      <c r="W37" s="341"/>
      <c r="X37" s="303"/>
      <c r="Y37" s="370"/>
      <c r="Z37" s="333" t="s">
        <v>136</v>
      </c>
      <c r="AA37" s="333" t="s">
        <v>136</v>
      </c>
      <c r="AB37" s="340">
        <v>1</v>
      </c>
      <c r="AC37" s="309">
        <f t="shared" si="2"/>
        <v>0</v>
      </c>
      <c r="AD37" s="351">
        <v>1.1299999999999999</v>
      </c>
      <c r="AE37" s="341" t="s">
        <v>664</v>
      </c>
      <c r="AF37" s="303"/>
      <c r="AG37" s="370"/>
      <c r="AH37" s="367" t="s">
        <v>136</v>
      </c>
      <c r="AI37" s="333" t="s">
        <v>136</v>
      </c>
      <c r="AJ37" s="340">
        <v>1</v>
      </c>
      <c r="AK37" s="309">
        <f t="shared" si="3"/>
        <v>0</v>
      </c>
      <c r="AL37" s="351">
        <v>1.1299999999999999</v>
      </c>
      <c r="AM37" s="341" t="s">
        <v>664</v>
      </c>
      <c r="AN37" s="303"/>
      <c r="AO37" s="404">
        <v>0.1</v>
      </c>
      <c r="AP37" s="367" t="s">
        <v>136</v>
      </c>
      <c r="AQ37" s="333" t="s">
        <v>136</v>
      </c>
      <c r="AR37" s="493">
        <v>0.25</v>
      </c>
      <c r="AS37" s="309">
        <f t="shared" si="4"/>
        <v>1089</v>
      </c>
      <c r="AT37" s="422">
        <v>1.1299999999999999</v>
      </c>
      <c r="AU37" s="488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  <c r="DB37" s="305"/>
      <c r="DC37" s="305"/>
      <c r="DD37" s="305"/>
      <c r="DE37" s="305"/>
      <c r="DF37" s="305"/>
      <c r="DG37" s="305"/>
      <c r="DH37" s="305"/>
      <c r="DI37" s="305"/>
      <c r="DJ37" s="305"/>
      <c r="DK37" s="305"/>
      <c r="DL37" s="305"/>
      <c r="DM37" s="305"/>
      <c r="DN37" s="305"/>
      <c r="DO37" s="305"/>
      <c r="DP37" s="305"/>
      <c r="DQ37" s="305"/>
      <c r="DR37" s="305"/>
      <c r="DS37" s="305"/>
      <c r="DT37" s="305"/>
      <c r="DU37" s="305"/>
      <c r="DV37" s="305"/>
      <c r="DW37" s="305"/>
      <c r="DX37" s="305"/>
      <c r="DY37" s="305"/>
      <c r="DZ37" s="305"/>
      <c r="EA37" s="305"/>
      <c r="EB37" s="305"/>
      <c r="EC37" s="305"/>
      <c r="ED37" s="305"/>
      <c r="EE37" s="305"/>
      <c r="EF37" s="305"/>
      <c r="EG37" s="305"/>
      <c r="EH37" s="305"/>
      <c r="EI37" s="305"/>
      <c r="EJ37" s="305"/>
      <c r="EK37" s="305"/>
      <c r="EL37" s="305"/>
      <c r="EM37" s="305"/>
      <c r="EN37" s="305"/>
      <c r="EO37" s="305"/>
      <c r="EP37" s="305"/>
      <c r="EQ37" s="305"/>
      <c r="ER37" s="305"/>
      <c r="ES37" s="305"/>
      <c r="ET37" s="305"/>
      <c r="EU37" s="305"/>
      <c r="EV37" s="305"/>
      <c r="EW37" s="305"/>
      <c r="EX37" s="305"/>
      <c r="EY37" s="305"/>
      <c r="EZ37" s="305"/>
      <c r="FA37" s="305"/>
      <c r="FB37" s="305"/>
      <c r="FC37" s="305"/>
      <c r="FD37" s="305"/>
      <c r="FE37" s="305"/>
      <c r="FF37" s="305"/>
      <c r="FG37" s="305"/>
      <c r="FH37" s="305"/>
      <c r="FI37" s="305"/>
      <c r="FJ37" s="305"/>
      <c r="FK37" s="305"/>
      <c r="FL37" s="305"/>
      <c r="FM37" s="305"/>
      <c r="FN37" s="305"/>
      <c r="FO37" s="305"/>
      <c r="FP37" s="305"/>
      <c r="FQ37" s="305"/>
      <c r="FR37" s="305"/>
      <c r="FS37" s="305"/>
      <c r="FT37" s="305"/>
      <c r="FU37" s="305"/>
      <c r="FV37" s="305"/>
      <c r="FW37" s="305"/>
      <c r="FX37" s="305"/>
      <c r="FY37" s="305"/>
      <c r="FZ37" s="305"/>
      <c r="GA37" s="305"/>
      <c r="GB37" s="305"/>
      <c r="GC37" s="305"/>
      <c r="GD37" s="305"/>
      <c r="GE37" s="305"/>
      <c r="GF37" s="305"/>
      <c r="GG37" s="305"/>
      <c r="GH37" s="305"/>
      <c r="GI37" s="305"/>
      <c r="GJ37" s="305"/>
      <c r="GK37" s="305"/>
      <c r="GL37" s="305"/>
      <c r="GM37" s="305"/>
      <c r="GN37" s="305"/>
      <c r="GO37" s="305"/>
      <c r="GP37" s="305"/>
      <c r="GQ37" s="305"/>
      <c r="GR37" s="305"/>
      <c r="GS37" s="305"/>
      <c r="GT37" s="305"/>
      <c r="GU37" s="305"/>
      <c r="GV37" s="305"/>
      <c r="GW37" s="305"/>
      <c r="GX37" s="305"/>
      <c r="GY37" s="305"/>
      <c r="GZ37" s="305"/>
      <c r="HA37" s="305"/>
      <c r="HB37" s="305"/>
      <c r="HC37" s="305"/>
      <c r="HD37" s="305"/>
      <c r="HE37" s="305"/>
      <c r="HF37" s="305"/>
      <c r="HG37" s="305"/>
      <c r="HH37" s="305"/>
      <c r="HI37" s="305"/>
      <c r="HJ37" s="305"/>
      <c r="HK37" s="305"/>
      <c r="HL37" s="305"/>
      <c r="HM37" s="305"/>
      <c r="HN37" s="305"/>
      <c r="HO37" s="305"/>
      <c r="HP37" s="305"/>
      <c r="HQ37" s="305"/>
      <c r="HR37" s="305"/>
      <c r="HS37" s="305"/>
      <c r="HT37" s="305"/>
      <c r="HU37" s="305"/>
      <c r="HV37" s="305"/>
      <c r="HW37" s="305"/>
      <c r="HX37" s="305"/>
      <c r="HY37" s="305"/>
      <c r="HZ37" s="305"/>
      <c r="IA37" s="305"/>
      <c r="IB37" s="305"/>
      <c r="IC37" s="305"/>
      <c r="ID37" s="305"/>
      <c r="IE37" s="305"/>
      <c r="IF37" s="305"/>
      <c r="IG37" s="305"/>
      <c r="IH37" s="305"/>
      <c r="II37" s="305"/>
      <c r="IJ37" s="305"/>
      <c r="IK37" s="305"/>
      <c r="IL37" s="305"/>
      <c r="IM37" s="305"/>
      <c r="IN37" s="305"/>
      <c r="IO37" s="305"/>
      <c r="IP37" s="305"/>
      <c r="IQ37" s="305"/>
      <c r="IR37" s="305"/>
      <c r="IS37" s="305"/>
      <c r="IT37" s="305"/>
      <c r="IU37" s="305"/>
      <c r="IV37" s="305"/>
      <c r="IW37" s="305"/>
      <c r="IX37" s="305"/>
      <c r="IY37" s="305"/>
      <c r="IZ37" s="305"/>
      <c r="JA37" s="305"/>
      <c r="JB37" s="305"/>
      <c r="JC37" s="305"/>
      <c r="JD37" s="305"/>
      <c r="JE37" s="305"/>
      <c r="JF37" s="305"/>
      <c r="JG37" s="305"/>
      <c r="JH37" s="305"/>
      <c r="JI37" s="305"/>
      <c r="JJ37" s="305"/>
      <c r="JK37" s="305"/>
      <c r="JL37" s="305"/>
      <c r="JM37" s="305"/>
      <c r="JN37" s="305"/>
      <c r="JO37" s="305"/>
      <c r="JP37" s="305"/>
      <c r="JQ37" s="305"/>
      <c r="JR37" s="305"/>
      <c r="JS37" s="305"/>
      <c r="JT37" s="305"/>
      <c r="JU37" s="305"/>
      <c r="JV37" s="305"/>
      <c r="JW37" s="305"/>
      <c r="JX37" s="305"/>
      <c r="JY37" s="305"/>
      <c r="JZ37" s="305"/>
      <c r="KA37" s="305"/>
      <c r="KB37" s="305"/>
      <c r="KC37" s="305"/>
      <c r="KD37" s="305"/>
      <c r="KE37" s="305"/>
      <c r="KF37" s="305"/>
      <c r="KG37" s="305"/>
      <c r="KH37" s="305"/>
      <c r="KI37" s="305"/>
      <c r="KJ37" s="305"/>
      <c r="KK37" s="305"/>
      <c r="KL37" s="305"/>
      <c r="KM37" s="305"/>
      <c r="KN37" s="305"/>
      <c r="KO37" s="305"/>
      <c r="KP37" s="305"/>
      <c r="KQ37" s="305"/>
      <c r="KR37" s="305"/>
      <c r="KS37" s="305"/>
      <c r="KT37" s="305"/>
      <c r="KU37" s="305"/>
      <c r="KV37" s="305"/>
      <c r="KW37" s="305"/>
      <c r="KX37" s="305"/>
      <c r="KY37" s="305"/>
      <c r="KZ37" s="305"/>
      <c r="LA37" s="305"/>
      <c r="LB37" s="305"/>
      <c r="LC37" s="305"/>
      <c r="LD37" s="305"/>
      <c r="LE37" s="305"/>
      <c r="LF37" s="305"/>
      <c r="LG37" s="305"/>
      <c r="LH37" s="305"/>
      <c r="LI37" s="305"/>
      <c r="LJ37" s="305"/>
      <c r="LK37" s="305"/>
      <c r="LL37" s="305"/>
      <c r="LM37" s="305"/>
      <c r="LN37" s="305"/>
      <c r="LO37" s="305"/>
      <c r="LP37" s="305"/>
      <c r="LQ37" s="305"/>
      <c r="LR37" s="305"/>
      <c r="LS37" s="305"/>
      <c r="LT37" s="305"/>
      <c r="LU37" s="305"/>
      <c r="LV37" s="305"/>
      <c r="LW37" s="305"/>
      <c r="LX37" s="305"/>
      <c r="LY37" s="305"/>
      <c r="LZ37" s="305"/>
      <c r="MA37" s="305"/>
      <c r="MB37" s="305"/>
      <c r="MC37" s="305"/>
      <c r="MD37" s="305"/>
      <c r="ME37" s="305"/>
      <c r="MF37" s="305"/>
      <c r="MG37" s="305"/>
      <c r="MH37" s="305"/>
      <c r="MI37" s="305"/>
      <c r="MJ37" s="305"/>
      <c r="MK37" s="305"/>
      <c r="ML37" s="305"/>
      <c r="MM37" s="305"/>
      <c r="MN37" s="305"/>
      <c r="MO37" s="305"/>
      <c r="MP37" s="305"/>
      <c r="MQ37" s="305"/>
      <c r="MR37" s="305"/>
      <c r="MS37" s="305"/>
      <c r="MT37" s="305"/>
      <c r="MU37" s="305"/>
      <c r="MV37" s="305"/>
      <c r="MW37" s="305"/>
      <c r="MX37" s="305"/>
      <c r="MY37" s="305"/>
      <c r="MZ37" s="305"/>
      <c r="NA37" s="305"/>
      <c r="NB37" s="305"/>
      <c r="NC37" s="305"/>
      <c r="ND37" s="305"/>
      <c r="NE37" s="305"/>
      <c r="NF37" s="305"/>
      <c r="NG37" s="305"/>
      <c r="NH37" s="305"/>
      <c r="NI37" s="305"/>
      <c r="NJ37" s="305"/>
      <c r="NK37" s="305"/>
      <c r="NL37" s="305"/>
      <c r="NM37" s="305"/>
      <c r="NN37" s="305"/>
      <c r="NO37" s="305"/>
      <c r="NP37" s="305"/>
      <c r="NQ37" s="305"/>
      <c r="NR37" s="305"/>
      <c r="NS37" s="305"/>
      <c r="NT37" s="305"/>
      <c r="NU37" s="305"/>
      <c r="NV37" s="305"/>
      <c r="NW37" s="305"/>
      <c r="NX37" s="305"/>
      <c r="NY37" s="305"/>
      <c r="NZ37" s="305"/>
      <c r="OA37" s="305"/>
      <c r="OB37" s="305"/>
      <c r="OC37" s="305"/>
      <c r="OD37" s="305"/>
      <c r="OE37" s="305"/>
      <c r="OF37" s="305"/>
      <c r="OG37" s="305"/>
      <c r="OH37" s="305"/>
      <c r="OI37" s="305"/>
      <c r="OJ37" s="305"/>
      <c r="OK37" s="305"/>
      <c r="OL37" s="305"/>
      <c r="OM37" s="305"/>
      <c r="ON37" s="305"/>
      <c r="OO37" s="305"/>
      <c r="OP37" s="305"/>
      <c r="OQ37" s="305"/>
      <c r="OR37" s="305"/>
      <c r="OS37" s="305"/>
      <c r="OT37" s="305"/>
      <c r="OU37" s="305"/>
      <c r="OV37" s="305"/>
      <c r="OW37" s="305"/>
      <c r="OX37" s="305"/>
      <c r="OY37" s="305"/>
      <c r="OZ37" s="305"/>
      <c r="PA37" s="305"/>
      <c r="PB37" s="305"/>
      <c r="PC37" s="305"/>
      <c r="PD37" s="305"/>
      <c r="PE37" s="305"/>
      <c r="PF37" s="305"/>
      <c r="PG37" s="305"/>
      <c r="PH37" s="305"/>
      <c r="PI37" s="305"/>
      <c r="PJ37" s="305"/>
      <c r="PK37" s="305"/>
      <c r="PL37" s="305"/>
      <c r="PM37" s="305"/>
      <c r="PN37" s="305"/>
      <c r="PO37" s="305"/>
      <c r="PP37" s="305"/>
      <c r="PQ37" s="305"/>
      <c r="PR37" s="305"/>
      <c r="PS37" s="305"/>
      <c r="PT37" s="305"/>
      <c r="PU37" s="305"/>
      <c r="PV37" s="305"/>
      <c r="PW37" s="305"/>
      <c r="PX37" s="305"/>
      <c r="PY37" s="305"/>
      <c r="PZ37" s="305"/>
      <c r="QA37" s="305"/>
      <c r="QB37" s="305"/>
      <c r="QC37" s="305"/>
      <c r="QD37" s="305"/>
      <c r="QE37" s="305"/>
      <c r="QF37" s="305"/>
      <c r="QG37" s="305"/>
      <c r="QH37" s="305"/>
      <c r="QI37" s="305"/>
      <c r="QJ37" s="305"/>
      <c r="QK37" s="305"/>
      <c r="QL37" s="305"/>
      <c r="QM37" s="305"/>
      <c r="QN37" s="305"/>
      <c r="QO37" s="305"/>
      <c r="QP37" s="305"/>
      <c r="QQ37" s="305"/>
      <c r="QR37" s="305"/>
      <c r="QS37" s="305"/>
      <c r="QT37" s="305"/>
      <c r="QU37" s="305"/>
      <c r="QV37" s="305"/>
      <c r="QW37" s="305"/>
      <c r="QX37" s="305"/>
      <c r="QY37" s="305"/>
      <c r="QZ37" s="305"/>
      <c r="RA37" s="305"/>
      <c r="RB37" s="305"/>
      <c r="RC37" s="305"/>
      <c r="RD37" s="305"/>
      <c r="RE37" s="305"/>
      <c r="RF37" s="305"/>
      <c r="RG37" s="305"/>
      <c r="RH37" s="305"/>
      <c r="RI37" s="305"/>
      <c r="RJ37" s="305"/>
      <c r="RK37" s="305"/>
      <c r="RL37" s="305"/>
      <c r="RM37" s="305"/>
      <c r="RN37" s="305"/>
      <c r="RO37" s="305"/>
      <c r="RP37" s="305"/>
      <c r="RQ37" s="305"/>
      <c r="RR37" s="305"/>
      <c r="RS37" s="305"/>
      <c r="RT37" s="305"/>
      <c r="RU37" s="305"/>
      <c r="RV37" s="305"/>
      <c r="RW37" s="305"/>
      <c r="RX37" s="305"/>
      <c r="RY37" s="305"/>
      <c r="RZ37" s="305"/>
      <c r="SA37" s="305"/>
      <c r="SB37" s="305"/>
      <c r="SC37" s="305"/>
      <c r="SD37" s="305"/>
      <c r="SE37" s="305"/>
      <c r="SF37" s="305"/>
      <c r="SG37" s="305"/>
      <c r="SH37" s="305"/>
      <c r="SI37" s="305"/>
      <c r="SJ37" s="305"/>
      <c r="SK37" s="305"/>
      <c r="SL37" s="305"/>
      <c r="SM37" s="305"/>
      <c r="SN37" s="305"/>
      <c r="SO37" s="305"/>
      <c r="SP37" s="305"/>
      <c r="SQ37" s="305"/>
      <c r="SR37" s="305"/>
      <c r="SS37" s="305"/>
      <c r="ST37" s="305"/>
      <c r="SU37" s="305"/>
      <c r="SV37" s="305"/>
      <c r="SW37" s="305"/>
      <c r="SX37" s="305"/>
      <c r="SY37" s="305"/>
      <c r="SZ37" s="305"/>
      <c r="TA37" s="305"/>
      <c r="TB37" s="305"/>
      <c r="TC37" s="305"/>
      <c r="TD37" s="305"/>
      <c r="TE37" s="305"/>
      <c r="TF37" s="305"/>
      <c r="TG37" s="305"/>
      <c r="TH37" s="305"/>
      <c r="TI37" s="305"/>
      <c r="TJ37" s="305"/>
      <c r="TK37" s="305"/>
      <c r="TL37" s="305"/>
      <c r="TM37" s="305"/>
      <c r="TN37" s="305"/>
      <c r="TO37" s="305"/>
      <c r="TP37" s="305"/>
      <c r="TQ37" s="305"/>
      <c r="TR37" s="305"/>
      <c r="TS37" s="305"/>
      <c r="TT37" s="305"/>
      <c r="TU37" s="305"/>
      <c r="TV37" s="305"/>
      <c r="TW37" s="305"/>
      <c r="TX37" s="305"/>
      <c r="TY37" s="305"/>
      <c r="TZ37" s="305"/>
      <c r="UA37" s="305"/>
      <c r="UB37" s="305"/>
      <c r="UC37" s="305"/>
      <c r="UD37" s="305"/>
      <c r="UE37" s="305"/>
      <c r="UF37" s="305"/>
      <c r="UG37" s="305"/>
      <c r="UH37" s="305"/>
      <c r="UI37" s="305"/>
      <c r="UJ37" s="305"/>
      <c r="UK37" s="305"/>
      <c r="UL37" s="305"/>
      <c r="UM37" s="305"/>
      <c r="UN37" s="305"/>
      <c r="UO37" s="305"/>
      <c r="UP37" s="305"/>
      <c r="UQ37" s="305"/>
      <c r="UR37" s="305"/>
      <c r="US37" s="305"/>
      <c r="UT37" s="305"/>
      <c r="UU37" s="305"/>
      <c r="UV37" s="305"/>
      <c r="UW37" s="305"/>
      <c r="UX37" s="305"/>
      <c r="UY37" s="305"/>
      <c r="UZ37" s="305"/>
      <c r="VA37" s="305"/>
      <c r="VB37" s="305"/>
      <c r="VC37" s="305"/>
      <c r="VD37" s="305"/>
      <c r="VE37" s="305"/>
      <c r="VF37" s="305"/>
      <c r="VG37" s="305"/>
      <c r="VH37" s="305"/>
      <c r="VI37" s="305"/>
      <c r="VJ37" s="305"/>
      <c r="VK37" s="305"/>
      <c r="VL37" s="305"/>
      <c r="VM37" s="305"/>
      <c r="VN37" s="305"/>
      <c r="VO37" s="305"/>
      <c r="VP37" s="305"/>
      <c r="VQ37" s="305"/>
      <c r="VR37" s="305"/>
      <c r="VS37" s="305"/>
      <c r="VT37" s="305"/>
      <c r="VU37" s="305"/>
      <c r="VV37" s="305"/>
      <c r="VW37" s="305"/>
      <c r="VX37" s="305"/>
      <c r="VY37" s="305"/>
      <c r="VZ37" s="305"/>
      <c r="WA37" s="305"/>
      <c r="WB37" s="305"/>
      <c r="WC37" s="305"/>
      <c r="WD37" s="305"/>
      <c r="WE37" s="305"/>
      <c r="WF37" s="305"/>
      <c r="WG37" s="305"/>
      <c r="WH37" s="305"/>
      <c r="WI37" s="305"/>
      <c r="WJ37" s="305"/>
      <c r="WK37" s="305"/>
      <c r="WL37" s="305"/>
      <c r="WM37" s="305"/>
      <c r="WN37" s="305"/>
      <c r="WO37" s="305"/>
      <c r="WP37" s="305"/>
      <c r="WQ37" s="305"/>
      <c r="WR37" s="305"/>
      <c r="WS37" s="305"/>
      <c r="WT37" s="305"/>
      <c r="WU37" s="305"/>
      <c r="WV37" s="305"/>
      <c r="WW37" s="305"/>
      <c r="WX37" s="305"/>
      <c r="WY37" s="305"/>
      <c r="WZ37" s="305"/>
      <c r="XA37" s="305"/>
      <c r="XB37" s="305"/>
      <c r="XC37" s="305"/>
      <c r="XD37" s="305"/>
      <c r="XE37" s="305"/>
      <c r="XF37" s="305"/>
      <c r="XG37" s="305"/>
      <c r="XH37" s="305"/>
      <c r="XI37" s="305"/>
      <c r="XJ37" s="305"/>
      <c r="XK37" s="305"/>
      <c r="XL37" s="305"/>
      <c r="XM37" s="305"/>
      <c r="XN37" s="305"/>
      <c r="XO37" s="305"/>
      <c r="XP37" s="305"/>
      <c r="XQ37" s="305"/>
      <c r="XR37" s="305"/>
      <c r="XS37" s="305"/>
      <c r="XT37" s="305"/>
      <c r="XU37" s="305"/>
      <c r="XV37" s="305"/>
      <c r="XW37" s="305"/>
      <c r="XX37" s="305"/>
      <c r="XY37" s="305"/>
      <c r="XZ37" s="305"/>
      <c r="YA37" s="305"/>
      <c r="YB37" s="305"/>
      <c r="YC37" s="305"/>
      <c r="YD37" s="305"/>
      <c r="YE37" s="305"/>
      <c r="YF37" s="305"/>
      <c r="YG37" s="305"/>
      <c r="YH37" s="305"/>
      <c r="YI37" s="305"/>
      <c r="YJ37" s="305"/>
      <c r="YK37" s="305"/>
      <c r="YL37" s="305"/>
      <c r="YM37" s="305"/>
      <c r="YN37" s="305"/>
      <c r="YO37" s="305"/>
      <c r="YP37" s="305"/>
      <c r="YQ37" s="305"/>
      <c r="YR37" s="305"/>
      <c r="YS37" s="305"/>
      <c r="YT37" s="305"/>
      <c r="YU37" s="305"/>
      <c r="YV37" s="305"/>
      <c r="YW37" s="305"/>
      <c r="YX37" s="305"/>
      <c r="YY37" s="305"/>
      <c r="YZ37" s="305"/>
      <c r="ZA37" s="297"/>
      <c r="ZB37" s="297"/>
      <c r="ZC37" s="297"/>
      <c r="ZD37" s="297"/>
      <c r="ZE37" s="297"/>
      <c r="ZF37" s="297"/>
      <c r="ZG37" s="297"/>
      <c r="ZH37" s="297"/>
      <c r="ZI37" s="297"/>
      <c r="ZJ37" s="297"/>
      <c r="ZK37" s="297"/>
      <c r="ZL37" s="297"/>
      <c r="ZM37" s="297"/>
      <c r="ZN37" s="297"/>
      <c r="ZO37" s="297"/>
      <c r="ZP37" s="297"/>
      <c r="ZQ37" s="297"/>
      <c r="ZR37" s="297"/>
      <c r="ZS37" s="297"/>
      <c r="ZT37" s="297"/>
      <c r="ZU37" s="297"/>
      <c r="ZV37" s="297"/>
      <c r="ZW37" s="297"/>
      <c r="ZX37" s="297"/>
      <c r="ZY37" s="297"/>
      <c r="ZZ37" s="297"/>
      <c r="AAA37" s="297"/>
      <c r="AAB37" s="297"/>
      <c r="AAC37" s="297"/>
      <c r="AAD37" s="297"/>
      <c r="AAE37" s="297"/>
      <c r="AAF37" s="297"/>
      <c r="AAG37" s="297"/>
      <c r="AAH37" s="297"/>
      <c r="AAI37" s="297"/>
      <c r="AAJ37" s="297"/>
      <c r="AAK37" s="297"/>
      <c r="AAL37" s="297"/>
      <c r="AAM37" s="297"/>
      <c r="AAN37" s="297"/>
      <c r="AAO37" s="297"/>
      <c r="AAP37" s="297"/>
      <c r="AAQ37" s="297"/>
      <c r="AAR37" s="297"/>
      <c r="AAS37" s="297"/>
      <c r="AAT37" s="297"/>
      <c r="AAU37" s="297"/>
      <c r="AAV37" s="297"/>
      <c r="AAW37" s="297"/>
      <c r="AAX37" s="297"/>
      <c r="AAY37" s="297"/>
      <c r="AAZ37" s="297"/>
      <c r="ABA37" s="297"/>
      <c r="ABB37" s="297"/>
      <c r="ABC37" s="297"/>
      <c r="ABD37" s="297"/>
      <c r="ABE37" s="297"/>
      <c r="ABF37" s="297"/>
      <c r="ABG37" s="297"/>
      <c r="ABH37" s="297"/>
      <c r="ABI37" s="297"/>
      <c r="ABJ37" s="297"/>
      <c r="ABK37" s="297"/>
      <c r="ABL37" s="297"/>
      <c r="ABM37" s="297"/>
      <c r="ABN37" s="297"/>
      <c r="ABO37" s="297"/>
      <c r="ABP37" s="297"/>
      <c r="ABQ37" s="297"/>
      <c r="ABR37" s="297"/>
      <c r="ABS37" s="297"/>
      <c r="ABT37" s="297"/>
      <c r="ABU37" s="297"/>
      <c r="ABV37" s="297"/>
      <c r="ABW37" s="297"/>
      <c r="ABX37" s="297"/>
      <c r="ABY37" s="297"/>
      <c r="ABZ37" s="297"/>
      <c r="ACA37" s="297"/>
      <c r="ACB37" s="297"/>
      <c r="ACC37" s="297"/>
      <c r="ACD37" s="297"/>
      <c r="ACE37" s="297"/>
      <c r="ACF37" s="297"/>
      <c r="ACG37" s="297"/>
      <c r="ACH37" s="297"/>
      <c r="ACI37" s="297"/>
      <c r="ACJ37" s="297"/>
      <c r="ACK37" s="297"/>
      <c r="ACL37" s="297"/>
      <c r="ACM37" s="297"/>
      <c r="ACN37" s="297"/>
      <c r="ACO37" s="297"/>
      <c r="ACP37" s="297"/>
      <c r="ACQ37" s="297"/>
      <c r="ACR37" s="297"/>
      <c r="ACS37" s="297"/>
      <c r="ACT37" s="297"/>
      <c r="ACU37" s="297"/>
      <c r="ACV37" s="297"/>
      <c r="ACW37" s="297"/>
      <c r="ACX37" s="297"/>
      <c r="ACY37" s="297"/>
      <c r="ACZ37" s="297"/>
      <c r="ADA37" s="297"/>
      <c r="ADB37" s="297"/>
      <c r="ADC37" s="297"/>
      <c r="ADD37" s="297"/>
      <c r="ADE37" s="297"/>
      <c r="ADF37" s="297"/>
      <c r="ADG37" s="297"/>
      <c r="ADH37" s="297"/>
      <c r="ADI37" s="297"/>
      <c r="ADJ37" s="297"/>
      <c r="ADK37" s="297"/>
      <c r="ADL37" s="297"/>
      <c r="ADM37" s="297"/>
      <c r="ADN37" s="297"/>
      <c r="ADO37" s="297"/>
      <c r="ADP37" s="297"/>
      <c r="ADQ37" s="297"/>
      <c r="ADR37" s="297"/>
      <c r="ADS37" s="297"/>
      <c r="ADT37" s="297"/>
      <c r="ADU37" s="297"/>
      <c r="ADV37" s="297"/>
      <c r="ADW37" s="297"/>
      <c r="ADX37" s="297"/>
      <c r="ADY37" s="297"/>
      <c r="ADZ37" s="297"/>
      <c r="AEA37" s="297"/>
      <c r="AEB37" s="297"/>
      <c r="AEC37" s="297"/>
      <c r="AED37" s="297"/>
      <c r="AEE37" s="297"/>
      <c r="AEF37" s="297"/>
      <c r="AEG37" s="297"/>
      <c r="AEH37" s="297"/>
      <c r="AEI37" s="297"/>
      <c r="AEJ37" s="297"/>
      <c r="AEK37" s="297"/>
      <c r="AEL37" s="297"/>
      <c r="AEM37" s="297"/>
      <c r="AEN37" s="297"/>
      <c r="AEO37" s="297"/>
      <c r="AEP37" s="297"/>
      <c r="AEQ37" s="297"/>
      <c r="AER37" s="297"/>
      <c r="AES37" s="297"/>
      <c r="AET37" s="297"/>
      <c r="AEU37" s="297"/>
      <c r="AEV37" s="297"/>
      <c r="AEW37" s="297"/>
      <c r="AEX37" s="297"/>
      <c r="AEY37" s="297"/>
      <c r="AEZ37" s="297"/>
      <c r="AFA37" s="297"/>
      <c r="AFB37" s="297"/>
      <c r="AFC37" s="297"/>
      <c r="AFD37" s="297"/>
      <c r="AFE37" s="297"/>
      <c r="AFF37" s="297"/>
      <c r="AFG37" s="297"/>
      <c r="AFH37" s="297"/>
      <c r="AFI37" s="297"/>
      <c r="AFJ37" s="297"/>
      <c r="AFK37" s="297"/>
      <c r="AFL37" s="297"/>
      <c r="AFM37" s="297"/>
      <c r="AFN37" s="297"/>
      <c r="AFO37" s="297"/>
      <c r="AFP37" s="297"/>
      <c r="AFQ37" s="297"/>
      <c r="AFR37" s="297"/>
      <c r="AFS37" s="297"/>
      <c r="AFT37" s="297"/>
      <c r="AFU37" s="297"/>
      <c r="AFV37" s="297"/>
      <c r="AFW37" s="297"/>
      <c r="AFX37" s="297"/>
      <c r="AFY37" s="297"/>
      <c r="AFZ37" s="297"/>
      <c r="AGA37" s="297"/>
      <c r="AGB37" s="297"/>
      <c r="AGC37" s="297"/>
      <c r="AGD37" s="297"/>
      <c r="AGE37" s="297"/>
      <c r="AGF37" s="297"/>
      <c r="AGG37" s="297"/>
      <c r="AGH37" s="297"/>
      <c r="AGI37" s="297"/>
      <c r="AGJ37" s="297"/>
      <c r="AGK37" s="297"/>
      <c r="AGL37" s="297"/>
      <c r="AGM37" s="297"/>
      <c r="AGN37" s="297"/>
      <c r="AGO37" s="297"/>
      <c r="AGP37" s="297"/>
      <c r="AGQ37" s="297"/>
      <c r="AGR37" s="297"/>
      <c r="AGS37" s="297"/>
      <c r="AGT37" s="297"/>
      <c r="AGU37" s="297"/>
      <c r="AGV37" s="297"/>
      <c r="AGW37" s="297"/>
      <c r="AGX37" s="297"/>
      <c r="AGY37" s="297"/>
      <c r="AGZ37" s="297"/>
      <c r="AHA37" s="297"/>
      <c r="AHB37" s="297"/>
      <c r="AHC37" s="297"/>
      <c r="AHD37" s="297"/>
      <c r="AHE37" s="297"/>
      <c r="AHF37" s="297"/>
      <c r="AHG37" s="297"/>
      <c r="AHH37" s="297"/>
      <c r="AHI37" s="297"/>
      <c r="AHJ37" s="297"/>
      <c r="AHK37" s="297"/>
      <c r="AHL37" s="297"/>
      <c r="AHM37" s="297"/>
      <c r="AHN37" s="297"/>
      <c r="AHO37" s="297"/>
      <c r="AHP37" s="297"/>
      <c r="AHQ37" s="297"/>
      <c r="AHR37" s="297"/>
      <c r="AHS37" s="297"/>
      <c r="AHT37" s="297"/>
      <c r="AHU37" s="297"/>
      <c r="AHV37" s="297"/>
      <c r="AHW37" s="297"/>
      <c r="AHX37" s="297"/>
      <c r="AHY37" s="297"/>
      <c r="AHZ37" s="297"/>
      <c r="AIA37" s="297"/>
      <c r="AIB37" s="297"/>
      <c r="AIC37" s="297"/>
      <c r="AID37" s="297"/>
      <c r="AIE37" s="297"/>
      <c r="AIF37" s="297"/>
      <c r="AIG37" s="297"/>
      <c r="AIH37" s="297"/>
      <c r="AII37" s="297"/>
      <c r="AIJ37" s="297"/>
      <c r="AIK37" s="297"/>
      <c r="AIL37" s="297"/>
      <c r="AIM37" s="297"/>
      <c r="AIN37" s="297"/>
      <c r="AIO37" s="297"/>
      <c r="AIP37" s="297"/>
      <c r="AIQ37" s="297"/>
      <c r="AIR37" s="297"/>
      <c r="AIS37" s="297"/>
      <c r="AIT37" s="297"/>
      <c r="AIU37" s="297"/>
      <c r="AIV37" s="297"/>
      <c r="AIW37" s="297"/>
      <c r="AIX37" s="297"/>
      <c r="AIY37" s="297"/>
      <c r="AIZ37" s="297"/>
      <c r="AJA37" s="297"/>
      <c r="AJB37" s="297"/>
      <c r="AJC37" s="297"/>
      <c r="AJD37" s="297"/>
      <c r="AJE37" s="297"/>
      <c r="AJF37" s="297"/>
      <c r="AJG37" s="297"/>
      <c r="AJH37" s="297"/>
      <c r="AJI37" s="297"/>
      <c r="AJJ37" s="297"/>
      <c r="AJK37" s="297"/>
      <c r="AJL37" s="297"/>
      <c r="AJM37" s="297"/>
      <c r="AJN37" s="297"/>
      <c r="AJO37" s="297"/>
      <c r="AJP37" s="297"/>
      <c r="AJQ37" s="297"/>
      <c r="AJR37" s="297"/>
      <c r="AJS37" s="297"/>
      <c r="AJT37" s="297"/>
      <c r="AJU37" s="297"/>
      <c r="AJV37" s="297"/>
      <c r="AJW37" s="297"/>
      <c r="AJX37" s="297"/>
      <c r="AJY37" s="297"/>
      <c r="AJZ37" s="297"/>
      <c r="AKA37" s="297"/>
      <c r="AKB37" s="297"/>
      <c r="AKC37" s="297"/>
      <c r="AKD37" s="297"/>
      <c r="AKE37" s="297"/>
      <c r="AKF37" s="297"/>
      <c r="AKG37" s="297"/>
      <c r="AKH37" s="297"/>
      <c r="AKI37" s="297"/>
      <c r="AKJ37" s="297"/>
      <c r="AKK37" s="297"/>
      <c r="AKL37" s="297"/>
      <c r="AKM37" s="297"/>
      <c r="AKN37" s="297"/>
      <c r="AKO37" s="297"/>
      <c r="AKP37" s="297"/>
      <c r="AKQ37" s="297"/>
      <c r="AKR37" s="297"/>
      <c r="AKS37" s="297"/>
      <c r="AKT37" s="297"/>
      <c r="AKU37" s="297"/>
      <c r="AKV37" s="297"/>
      <c r="AKW37" s="297"/>
      <c r="AKX37" s="297"/>
      <c r="AKY37" s="297"/>
      <c r="AKZ37" s="297"/>
      <c r="ALA37" s="297"/>
      <c r="ALB37" s="297"/>
      <c r="ALC37" s="297"/>
      <c r="ALD37" s="297"/>
      <c r="ALE37" s="297"/>
      <c r="ALF37" s="297"/>
      <c r="ALG37" s="297"/>
      <c r="ALH37" s="297"/>
      <c r="ALI37" s="297"/>
      <c r="ALJ37" s="297"/>
      <c r="ALK37" s="297"/>
      <c r="ALL37" s="297"/>
      <c r="ALM37" s="297"/>
      <c r="ALN37" s="297"/>
      <c r="ALO37" s="297"/>
      <c r="ALP37" s="297"/>
      <c r="ALQ37" s="297"/>
      <c r="ALR37" s="297"/>
      <c r="ALS37" s="297"/>
      <c r="ALT37" s="297"/>
      <c r="ALU37" s="297"/>
      <c r="ALV37" s="297"/>
      <c r="ALW37" s="297"/>
      <c r="ALX37" s="297"/>
      <c r="ALY37" s="297"/>
      <c r="ALZ37" s="297"/>
      <c r="AMA37" s="297"/>
      <c r="AMB37" s="297"/>
      <c r="AMC37" s="297"/>
      <c r="AMD37" s="297"/>
      <c r="AME37" s="297"/>
      <c r="AMF37" s="297"/>
      <c r="AMG37" s="297"/>
      <c r="AMH37" s="297"/>
      <c r="AMI37" s="297"/>
      <c r="AMJ37" s="297"/>
      <c r="AMK37" s="297"/>
      <c r="AML37" s="297"/>
      <c r="AMM37" s="297"/>
      <c r="AMN37" s="297"/>
      <c r="AMO37" s="297"/>
      <c r="AMP37" s="297"/>
      <c r="AMQ37" s="297"/>
      <c r="AMR37" s="297"/>
      <c r="AMS37" s="297"/>
      <c r="AMT37" s="297"/>
      <c r="AMU37" s="297"/>
      <c r="AMV37" s="297"/>
      <c r="AMW37" s="297"/>
      <c r="AMX37" s="297"/>
      <c r="AMY37" s="297"/>
      <c r="AMZ37" s="297"/>
      <c r="ANA37" s="297"/>
      <c r="ANB37" s="297"/>
      <c r="ANC37" s="297"/>
      <c r="AND37" s="297"/>
      <c r="ANE37" s="297"/>
      <c r="ANF37" s="297"/>
      <c r="ANG37" s="297"/>
      <c r="ANH37" s="297"/>
      <c r="ANI37" s="297"/>
      <c r="ANJ37" s="297"/>
      <c r="ANK37" s="297"/>
      <c r="ANL37" s="297"/>
      <c r="ANM37" s="297"/>
      <c r="ANN37" s="297"/>
      <c r="ANO37" s="297"/>
      <c r="ANP37" s="297"/>
      <c r="ANQ37" s="297"/>
      <c r="ANR37" s="297"/>
      <c r="ANS37" s="297"/>
      <c r="ANT37" s="297"/>
      <c r="ANU37" s="297"/>
      <c r="ANV37" s="297"/>
      <c r="ANW37" s="297"/>
      <c r="ANX37" s="297"/>
      <c r="ANY37" s="297"/>
      <c r="ANZ37" s="297"/>
      <c r="AOA37" s="297"/>
      <c r="AOB37" s="297"/>
      <c r="AOC37" s="297"/>
      <c r="AOD37" s="297"/>
      <c r="AOE37" s="297"/>
      <c r="AOF37" s="297"/>
      <c r="AOG37" s="297"/>
      <c r="AOH37" s="297"/>
      <c r="AOI37" s="297"/>
      <c r="AOJ37" s="297"/>
      <c r="AOK37" s="297"/>
      <c r="AOL37" s="297"/>
      <c r="AOM37" s="297"/>
      <c r="AON37" s="297"/>
      <c r="AOO37" s="297"/>
      <c r="AOP37" s="297"/>
      <c r="AOQ37" s="297"/>
      <c r="AOR37" s="297"/>
      <c r="AOS37" s="297"/>
      <c r="AOT37" s="297"/>
      <c r="AOU37" s="297"/>
      <c r="AOV37" s="297"/>
      <c r="AOW37" s="297"/>
      <c r="AOX37" s="297"/>
      <c r="AOY37" s="297"/>
      <c r="AOZ37" s="297"/>
      <c r="APA37" s="297"/>
      <c r="APB37" s="297"/>
      <c r="APC37" s="297"/>
      <c r="APD37" s="297"/>
      <c r="APE37" s="297"/>
      <c r="APF37" s="297"/>
      <c r="APG37" s="297"/>
      <c r="APH37" s="297"/>
      <c r="API37" s="297"/>
      <c r="APJ37" s="297"/>
      <c r="APK37" s="297"/>
      <c r="APL37" s="297"/>
      <c r="APM37" s="297"/>
      <c r="APN37" s="297"/>
      <c r="APO37" s="297"/>
      <c r="APP37" s="297"/>
      <c r="APQ37" s="297"/>
      <c r="APR37" s="297"/>
      <c r="APS37" s="297"/>
      <c r="APT37" s="297"/>
      <c r="APU37" s="297"/>
      <c r="APV37" s="297"/>
      <c r="APW37" s="297"/>
      <c r="APX37" s="297"/>
      <c r="APY37" s="297"/>
      <c r="APZ37" s="297"/>
      <c r="AQA37" s="297"/>
      <c r="AQB37" s="297"/>
      <c r="AQC37" s="297"/>
      <c r="AQD37" s="297"/>
      <c r="AQE37" s="297"/>
      <c r="AQF37" s="297"/>
      <c r="AQG37" s="297"/>
      <c r="AQH37" s="297"/>
      <c r="AQI37" s="297"/>
      <c r="AQJ37" s="297"/>
      <c r="AQK37" s="297"/>
      <c r="AQL37" s="297"/>
      <c r="AQM37" s="297"/>
      <c r="AQN37" s="297"/>
      <c r="AQO37" s="297"/>
      <c r="AQP37" s="297"/>
      <c r="AQQ37" s="297"/>
      <c r="AQR37" s="297"/>
      <c r="AQS37" s="297"/>
      <c r="AQT37" s="297"/>
      <c r="AQU37" s="297"/>
      <c r="AQV37" s="297"/>
      <c r="AQW37" s="297"/>
      <c r="AQX37" s="297"/>
      <c r="AQY37" s="297"/>
      <c r="AQZ37" s="297"/>
      <c r="ARA37" s="297"/>
      <c r="ARB37" s="297"/>
      <c r="ARC37" s="297"/>
      <c r="ARD37" s="297"/>
      <c r="ARE37" s="297"/>
      <c r="ARF37" s="297"/>
      <c r="ARG37" s="297"/>
      <c r="ARH37" s="297"/>
      <c r="ARI37" s="297"/>
      <c r="ARJ37" s="297"/>
      <c r="ARK37" s="297"/>
      <c r="ARL37" s="297"/>
      <c r="ARM37" s="297"/>
      <c r="ARN37" s="297"/>
      <c r="ARO37" s="297"/>
      <c r="ARP37" s="297"/>
      <c r="ARQ37" s="297"/>
      <c r="ARR37" s="297"/>
      <c r="ARS37" s="297"/>
      <c r="ART37" s="297"/>
      <c r="ARU37" s="297"/>
      <c r="ARV37" s="297"/>
      <c r="ARW37" s="297"/>
      <c r="ARX37" s="297"/>
      <c r="ARY37" s="297"/>
      <c r="ARZ37" s="297"/>
      <c r="ASA37" s="297"/>
      <c r="ASB37" s="297"/>
      <c r="ASC37" s="297"/>
      <c r="ASD37" s="297"/>
      <c r="ASE37" s="297"/>
      <c r="ASF37" s="297"/>
      <c r="ASG37" s="297"/>
      <c r="ASH37" s="297"/>
      <c r="ASI37" s="297"/>
      <c r="ASJ37" s="297"/>
      <c r="ASK37" s="297"/>
      <c r="ASL37" s="297"/>
      <c r="ASM37" s="297"/>
      <c r="ASN37" s="297"/>
      <c r="ASO37" s="297"/>
      <c r="ASP37" s="297"/>
      <c r="ASQ37" s="297"/>
      <c r="ASR37" s="297"/>
      <c r="ASS37" s="297"/>
      <c r="AST37" s="297"/>
      <c r="ASU37" s="297"/>
      <c r="ASV37" s="297"/>
      <c r="ASW37" s="297"/>
      <c r="ASX37" s="297"/>
      <c r="ASY37" s="297"/>
      <c r="ASZ37" s="297"/>
      <c r="ATA37" s="297"/>
      <c r="ATB37" s="297"/>
      <c r="ATC37" s="297"/>
      <c r="ATD37" s="297"/>
      <c r="ATE37" s="297"/>
      <c r="ATF37" s="297"/>
      <c r="ATG37" s="297"/>
      <c r="ATH37" s="297"/>
      <c r="ATI37" s="297"/>
      <c r="ATJ37" s="297"/>
      <c r="ATK37" s="297"/>
      <c r="ATL37" s="297"/>
      <c r="ATM37" s="297"/>
      <c r="ATN37" s="297"/>
      <c r="ATO37" s="297"/>
      <c r="ATP37" s="297"/>
      <c r="ATQ37" s="297"/>
      <c r="ATR37" s="297"/>
      <c r="ATS37" s="297"/>
      <c r="ATT37" s="297"/>
      <c r="ATU37" s="297"/>
      <c r="ATV37" s="297"/>
      <c r="ATW37" s="297"/>
      <c r="ATX37" s="297"/>
      <c r="ATY37" s="297"/>
      <c r="ATZ37" s="297"/>
      <c r="AUA37" s="297"/>
      <c r="AUB37" s="297"/>
      <c r="AUC37" s="297"/>
      <c r="AUD37" s="297"/>
      <c r="AUE37" s="297"/>
      <c r="AUF37" s="297"/>
      <c r="AUG37" s="297"/>
      <c r="AUH37" s="297"/>
      <c r="AUI37" s="297"/>
      <c r="AUJ37" s="297"/>
      <c r="AUK37" s="297"/>
      <c r="AUL37" s="297"/>
      <c r="AUM37" s="297"/>
      <c r="AUN37" s="297"/>
      <c r="AUO37" s="297"/>
      <c r="AUP37" s="297"/>
      <c r="AUQ37" s="297"/>
      <c r="AUR37" s="297"/>
      <c r="AUS37" s="297"/>
      <c r="AUT37" s="297"/>
      <c r="AUU37" s="297"/>
      <c r="AUV37" s="297"/>
      <c r="AUW37" s="297"/>
      <c r="AUX37" s="297"/>
      <c r="AUY37" s="297"/>
      <c r="AUZ37" s="297"/>
      <c r="AVA37" s="297"/>
      <c r="AVB37" s="297"/>
      <c r="AVC37" s="297"/>
      <c r="AVD37" s="297"/>
      <c r="AVE37" s="297"/>
      <c r="AVF37" s="297"/>
      <c r="AVG37" s="297"/>
      <c r="AVH37" s="297"/>
      <c r="AVI37" s="297"/>
      <c r="AVJ37" s="297"/>
      <c r="AVK37" s="297"/>
      <c r="AVL37" s="297"/>
      <c r="AVM37" s="297"/>
      <c r="AVN37" s="297"/>
      <c r="AVO37" s="297"/>
      <c r="AVP37" s="297"/>
      <c r="AVQ37" s="297"/>
      <c r="AVR37" s="297"/>
      <c r="AVS37" s="297"/>
      <c r="AVT37" s="297"/>
      <c r="AVU37" s="297"/>
      <c r="AVV37" s="297"/>
      <c r="AVW37" s="297"/>
      <c r="AVX37" s="297"/>
      <c r="AVY37" s="297"/>
      <c r="AVZ37" s="297"/>
      <c r="AWA37" s="297"/>
      <c r="AWB37" s="297"/>
      <c r="AWC37" s="297"/>
      <c r="AWD37" s="297"/>
      <c r="AWE37" s="297"/>
      <c r="AWF37" s="297"/>
      <c r="AWG37" s="297"/>
      <c r="AWH37" s="297"/>
      <c r="AWI37" s="297"/>
      <c r="AWJ37" s="297"/>
      <c r="AWK37" s="297"/>
      <c r="AWL37" s="297"/>
      <c r="AWM37" s="297"/>
      <c r="AWN37" s="297"/>
      <c r="AWO37" s="297"/>
      <c r="AWP37" s="297"/>
      <c r="AWQ37" s="297"/>
      <c r="AWR37" s="297"/>
      <c r="AWS37" s="297"/>
      <c r="AWT37" s="297"/>
      <c r="AWU37" s="297"/>
      <c r="AWV37" s="297"/>
      <c r="AWW37" s="297"/>
      <c r="AWX37" s="297"/>
      <c r="AWY37" s="297"/>
      <c r="AWZ37" s="297"/>
      <c r="AXA37" s="297"/>
      <c r="AXB37" s="297"/>
      <c r="AXC37" s="297"/>
      <c r="AXD37" s="297"/>
      <c r="AXE37" s="297"/>
      <c r="AXF37" s="297"/>
      <c r="AXG37" s="297"/>
      <c r="AXH37" s="297"/>
      <c r="AXI37" s="297"/>
      <c r="AXJ37" s="297"/>
      <c r="AXK37" s="297"/>
      <c r="AXL37" s="297"/>
      <c r="AXM37" s="297"/>
      <c r="AXN37" s="297"/>
      <c r="AXO37" s="297"/>
      <c r="AXP37" s="297"/>
      <c r="AXQ37" s="297"/>
      <c r="AXR37" s="297"/>
      <c r="AXS37" s="297"/>
      <c r="AXT37" s="297"/>
      <c r="AXU37" s="297"/>
      <c r="AXV37" s="297"/>
      <c r="AXW37" s="297"/>
      <c r="AXX37" s="297"/>
      <c r="AXY37" s="297"/>
      <c r="AXZ37" s="297"/>
      <c r="AYA37" s="297"/>
      <c r="AYB37" s="297"/>
      <c r="AYC37" s="297"/>
      <c r="AYD37" s="297"/>
      <c r="AYE37" s="297"/>
      <c r="AYF37" s="297"/>
      <c r="AYG37" s="297"/>
      <c r="AYH37" s="297"/>
      <c r="AYI37" s="297"/>
      <c r="AYJ37" s="297"/>
      <c r="AYK37" s="297"/>
      <c r="AYL37" s="297"/>
      <c r="AYM37" s="297"/>
      <c r="AYN37" s="297"/>
      <c r="AYO37" s="297"/>
      <c r="AYP37" s="297"/>
      <c r="AYQ37" s="297"/>
      <c r="AYR37" s="297"/>
      <c r="AYS37" s="297"/>
      <c r="AYT37" s="297"/>
      <c r="AYU37" s="297"/>
      <c r="AYV37" s="297"/>
      <c r="AYW37" s="297"/>
      <c r="AYX37" s="297"/>
      <c r="AYY37" s="297"/>
      <c r="AYZ37" s="297"/>
      <c r="AZA37" s="297"/>
      <c r="AZB37" s="297"/>
      <c r="AZC37" s="297"/>
      <c r="AZD37" s="297"/>
      <c r="AZE37" s="297"/>
      <c r="AZF37" s="297"/>
      <c r="AZG37" s="297"/>
      <c r="AZH37" s="297"/>
      <c r="AZI37" s="297"/>
      <c r="AZJ37" s="297"/>
      <c r="AZK37" s="297"/>
      <c r="AZL37" s="297"/>
      <c r="AZM37" s="297"/>
      <c r="AZN37" s="297"/>
      <c r="AZO37" s="297"/>
      <c r="AZP37" s="297"/>
      <c r="AZQ37" s="297"/>
      <c r="AZR37" s="297"/>
      <c r="AZS37" s="297"/>
      <c r="AZT37" s="297"/>
      <c r="AZU37" s="297"/>
      <c r="AZV37" s="297"/>
      <c r="AZW37" s="297"/>
      <c r="AZX37" s="297"/>
      <c r="AZY37" s="297"/>
      <c r="AZZ37" s="297"/>
      <c r="BAA37" s="297"/>
      <c r="BAB37" s="297"/>
      <c r="BAC37" s="297"/>
      <c r="BAD37" s="297"/>
      <c r="BAE37" s="297"/>
      <c r="BAF37" s="297"/>
      <c r="BAG37" s="297"/>
      <c r="BAH37" s="297"/>
      <c r="BAI37" s="297"/>
      <c r="BAJ37" s="297"/>
      <c r="BAK37" s="297"/>
      <c r="BAL37" s="297"/>
      <c r="BAM37" s="297"/>
      <c r="BAN37" s="297"/>
      <c r="BAO37" s="297"/>
      <c r="BAP37" s="297"/>
      <c r="BAQ37" s="297"/>
      <c r="BAR37" s="297"/>
      <c r="BAS37" s="297"/>
      <c r="BAT37" s="297"/>
      <c r="BAU37" s="297"/>
      <c r="BAV37" s="297"/>
      <c r="BAW37" s="297"/>
      <c r="BAX37" s="297"/>
      <c r="BAY37" s="297"/>
      <c r="BAZ37" s="297"/>
      <c r="BBA37" s="297"/>
      <c r="BBB37" s="297"/>
      <c r="BBC37" s="297"/>
      <c r="BBD37" s="297"/>
      <c r="BBE37" s="297"/>
      <c r="BBF37" s="297"/>
      <c r="BBG37" s="297"/>
      <c r="BBH37" s="297"/>
      <c r="BBI37" s="297"/>
      <c r="BBJ37" s="297"/>
      <c r="BBK37" s="297"/>
      <c r="BBL37" s="297"/>
      <c r="BBM37" s="297"/>
      <c r="BBN37" s="297"/>
      <c r="BBO37" s="297"/>
      <c r="BBP37" s="297"/>
      <c r="BBQ37" s="297"/>
      <c r="BBR37" s="297"/>
      <c r="BBS37" s="297"/>
      <c r="BBT37" s="297"/>
      <c r="BBU37" s="297"/>
      <c r="BBV37" s="297"/>
      <c r="BBW37" s="297"/>
      <c r="BBX37" s="297"/>
      <c r="BBY37" s="297"/>
      <c r="BBZ37" s="297"/>
      <c r="BCA37" s="297"/>
      <c r="BCB37" s="297"/>
      <c r="BCC37" s="297"/>
      <c r="BCD37" s="297"/>
      <c r="BCE37" s="297"/>
      <c r="BCF37" s="297"/>
      <c r="BCG37" s="297"/>
      <c r="BCH37" s="297"/>
      <c r="BCI37" s="297"/>
      <c r="BCJ37" s="297"/>
      <c r="BCK37" s="297"/>
      <c r="BCL37" s="297"/>
      <c r="BCM37" s="297"/>
      <c r="BCN37" s="297"/>
      <c r="BCO37" s="297"/>
      <c r="BCP37" s="297"/>
      <c r="BCQ37" s="297"/>
      <c r="BCR37" s="297"/>
      <c r="BCS37" s="297"/>
      <c r="BCT37" s="297"/>
      <c r="BCU37" s="297"/>
      <c r="BCV37" s="297"/>
      <c r="BCW37" s="297"/>
      <c r="BCX37" s="297"/>
      <c r="BCY37" s="297"/>
      <c r="BCZ37" s="297"/>
      <c r="BDA37" s="297"/>
      <c r="BDB37" s="297"/>
      <c r="BDC37" s="297"/>
      <c r="BDD37" s="297"/>
      <c r="BDE37" s="297"/>
      <c r="BDF37" s="297"/>
      <c r="BDG37" s="297"/>
      <c r="BDH37" s="297"/>
      <c r="BDI37" s="297"/>
      <c r="BDJ37" s="297"/>
      <c r="BDK37" s="297"/>
      <c r="BDL37" s="297"/>
      <c r="BDM37" s="297"/>
      <c r="BDN37" s="297"/>
      <c r="BDO37" s="297"/>
      <c r="BDP37" s="297"/>
      <c r="BDQ37" s="297"/>
      <c r="BDR37" s="297"/>
      <c r="BDS37" s="297"/>
      <c r="BDT37" s="297"/>
      <c r="BDU37" s="297"/>
      <c r="BDV37" s="297"/>
      <c r="BDW37" s="297"/>
      <c r="BDX37" s="297"/>
      <c r="BDY37" s="297"/>
      <c r="BDZ37" s="297"/>
      <c r="BEA37" s="297"/>
      <c r="BEB37" s="297"/>
      <c r="BEC37" s="297"/>
      <c r="BED37" s="297"/>
      <c r="BEE37" s="297"/>
      <c r="BEF37" s="297"/>
      <c r="BEG37" s="297"/>
      <c r="BEH37" s="297"/>
      <c r="BEI37" s="297"/>
      <c r="BEJ37" s="297"/>
      <c r="BEK37" s="297"/>
      <c r="BEL37" s="297"/>
      <c r="BEM37" s="297"/>
      <c r="BEN37" s="297"/>
      <c r="BEO37" s="297"/>
      <c r="BEP37" s="297"/>
      <c r="BEQ37" s="297"/>
      <c r="BER37" s="297"/>
      <c r="BES37" s="297"/>
      <c r="BET37" s="297"/>
      <c r="BEU37" s="297"/>
      <c r="BEV37" s="297"/>
      <c r="BEW37" s="297"/>
      <c r="BEX37" s="297"/>
      <c r="BEY37" s="297"/>
      <c r="BEZ37" s="297"/>
      <c r="BFA37" s="297"/>
      <c r="BFB37" s="297"/>
      <c r="BFC37" s="297"/>
      <c r="BFD37" s="297"/>
      <c r="BFE37" s="297"/>
      <c r="BFF37" s="297"/>
      <c r="BFG37" s="297"/>
      <c r="BFH37" s="297"/>
      <c r="BFI37" s="297"/>
      <c r="BFJ37" s="297"/>
      <c r="BFK37" s="297"/>
      <c r="BFL37" s="297"/>
      <c r="BFM37" s="297"/>
      <c r="BFN37" s="297"/>
      <c r="BFO37" s="297"/>
      <c r="BFP37" s="297"/>
      <c r="BFQ37" s="297"/>
      <c r="BFR37" s="297"/>
      <c r="BFS37" s="297"/>
      <c r="BFT37" s="297"/>
      <c r="BFU37" s="297"/>
      <c r="BFV37" s="297"/>
      <c r="BFW37" s="297"/>
      <c r="BFX37" s="297"/>
      <c r="BFY37" s="297"/>
      <c r="BFZ37" s="297"/>
      <c r="BGA37" s="297"/>
      <c r="BGB37" s="297"/>
      <c r="BGC37" s="297"/>
      <c r="BGD37" s="297"/>
      <c r="BGE37" s="297"/>
      <c r="BGF37" s="297"/>
      <c r="BGG37" s="297"/>
      <c r="BGH37" s="297"/>
      <c r="BGI37" s="297"/>
      <c r="BGJ37" s="297"/>
      <c r="BGK37" s="297"/>
      <c r="BGL37" s="297"/>
      <c r="BGM37" s="297"/>
      <c r="BGN37" s="297"/>
      <c r="BGO37" s="297"/>
      <c r="BGP37" s="297"/>
      <c r="BGQ37" s="297"/>
      <c r="BGR37" s="297"/>
      <c r="BGS37" s="297"/>
      <c r="BGT37" s="297"/>
      <c r="BGU37" s="297"/>
      <c r="BGV37" s="297"/>
      <c r="BGW37" s="297"/>
      <c r="BGX37" s="297"/>
      <c r="BGY37" s="297"/>
      <c r="BGZ37" s="297"/>
      <c r="BHA37" s="297"/>
      <c r="BHB37" s="297"/>
      <c r="BHC37" s="297"/>
      <c r="BHD37" s="297"/>
      <c r="BHE37" s="297"/>
      <c r="BHF37" s="297"/>
      <c r="BHG37" s="297"/>
      <c r="BHH37" s="297"/>
      <c r="BHI37" s="297"/>
      <c r="BHJ37" s="297"/>
      <c r="BHK37" s="297"/>
      <c r="BHL37" s="297"/>
      <c r="BHM37" s="297"/>
      <c r="BHN37" s="297"/>
      <c r="BHO37" s="297"/>
      <c r="BHP37" s="297"/>
      <c r="BHQ37" s="297"/>
      <c r="BHR37" s="297"/>
      <c r="BHS37" s="297"/>
      <c r="BHT37" s="297"/>
      <c r="BHU37" s="297"/>
      <c r="BHV37" s="297"/>
      <c r="BHW37" s="297"/>
      <c r="BHX37" s="297"/>
      <c r="BHY37" s="297"/>
      <c r="BHZ37" s="297"/>
      <c r="BIA37" s="297"/>
      <c r="BIB37" s="297"/>
      <c r="BIC37" s="297"/>
      <c r="BID37" s="297"/>
      <c r="BIE37" s="297"/>
      <c r="BIF37" s="297"/>
      <c r="BIG37" s="297"/>
      <c r="BIH37" s="297"/>
      <c r="BII37" s="297"/>
      <c r="BIJ37" s="297"/>
      <c r="BIK37" s="297"/>
      <c r="BIL37" s="297"/>
      <c r="BIM37" s="297"/>
      <c r="BIN37" s="297"/>
      <c r="BIO37" s="297"/>
      <c r="BIP37" s="297"/>
      <c r="BIQ37" s="297"/>
      <c r="BIR37" s="297"/>
      <c r="BIS37" s="297"/>
      <c r="BIT37" s="297"/>
      <c r="BIU37" s="297"/>
      <c r="BIV37" s="297"/>
      <c r="BIW37" s="297"/>
      <c r="BIX37" s="297"/>
      <c r="BIY37" s="297"/>
      <c r="BIZ37" s="297"/>
      <c r="BJA37" s="297"/>
      <c r="BJB37" s="297"/>
      <c r="BJC37" s="297"/>
      <c r="BJD37" s="297"/>
      <c r="BJE37" s="297"/>
      <c r="BJF37" s="297"/>
      <c r="BJG37" s="297"/>
      <c r="BJH37" s="297"/>
      <c r="BJI37" s="297"/>
      <c r="BJJ37" s="297"/>
      <c r="BJK37" s="297"/>
      <c r="BJL37" s="297"/>
      <c r="BJM37" s="297"/>
      <c r="BJN37" s="297"/>
      <c r="BJO37" s="297"/>
      <c r="BJP37" s="297"/>
      <c r="BJQ37" s="297"/>
      <c r="BJR37" s="297"/>
      <c r="BJS37" s="297"/>
      <c r="BJT37" s="297"/>
      <c r="BJU37" s="297"/>
      <c r="BJV37" s="297"/>
      <c r="BJW37" s="297"/>
      <c r="BJX37" s="297"/>
      <c r="BJY37" s="297"/>
      <c r="BJZ37" s="297"/>
      <c r="BKA37" s="297"/>
      <c r="BKB37" s="297"/>
      <c r="BKC37" s="297"/>
      <c r="BKD37" s="297"/>
      <c r="BKE37" s="297"/>
      <c r="BKF37" s="297"/>
      <c r="BKG37" s="297"/>
      <c r="BKH37" s="297"/>
      <c r="BKI37" s="297"/>
      <c r="BKJ37" s="297"/>
      <c r="BKK37" s="297"/>
      <c r="BKL37" s="297"/>
      <c r="BKM37" s="297"/>
      <c r="BKN37" s="297"/>
      <c r="BKO37" s="297"/>
      <c r="BKP37" s="297"/>
      <c r="BKQ37" s="297"/>
      <c r="BKR37" s="297"/>
      <c r="BKS37" s="297"/>
      <c r="BKT37" s="299"/>
      <c r="BKU37" s="299"/>
      <c r="BKV37" s="299"/>
      <c r="BKW37" s="299"/>
      <c r="BKX37" s="299"/>
      <c r="BKY37" s="299"/>
      <c r="BKZ37" s="299"/>
      <c r="BLA37" s="299"/>
      <c r="BLB37" s="299"/>
      <c r="BLC37" s="299"/>
      <c r="BLD37" s="299"/>
      <c r="BLE37" s="299"/>
      <c r="BLF37" s="299"/>
      <c r="BLG37" s="299"/>
      <c r="BLH37" s="299"/>
      <c r="BLI37" s="299"/>
      <c r="BLJ37" s="299"/>
      <c r="BLK37" s="299"/>
      <c r="BLL37" s="299"/>
      <c r="BLM37" s="299"/>
      <c r="BLN37" s="299"/>
      <c r="BLO37" s="299"/>
      <c r="BLP37" s="299"/>
      <c r="BLQ37" s="299"/>
      <c r="BLR37" s="299"/>
      <c r="BLS37" s="299"/>
      <c r="BLT37" s="299"/>
      <c r="BLU37" s="299"/>
      <c r="BLV37" s="299"/>
      <c r="BLW37" s="299"/>
      <c r="BLX37" s="299"/>
      <c r="BLY37" s="299"/>
      <c r="BLZ37" s="299"/>
      <c r="BMA37" s="299"/>
      <c r="BMB37" s="299"/>
      <c r="BMC37" s="299"/>
      <c r="BMD37" s="299"/>
      <c r="BME37" s="299"/>
      <c r="BMF37" s="299"/>
      <c r="BMG37" s="299"/>
      <c r="BMH37" s="299"/>
      <c r="BMI37" s="299"/>
      <c r="BMJ37" s="299"/>
      <c r="BMK37" s="299"/>
      <c r="BML37" s="299"/>
      <c r="BMM37" s="299"/>
      <c r="BMN37" s="299"/>
      <c r="BMO37" s="299"/>
      <c r="BMP37" s="299"/>
      <c r="BMQ37" s="299"/>
      <c r="BMR37" s="299"/>
      <c r="BMS37" s="299"/>
      <c r="BMT37" s="299"/>
      <c r="BMU37" s="299"/>
      <c r="BMV37" s="299"/>
      <c r="BMW37" s="299"/>
      <c r="BMX37" s="299"/>
      <c r="BMY37" s="299"/>
      <c r="BMZ37" s="299"/>
      <c r="BNA37" s="299"/>
      <c r="BNB37" s="299"/>
      <c r="BNC37" s="299"/>
      <c r="BND37" s="299"/>
      <c r="BNE37" s="299"/>
      <c r="BNF37" s="299"/>
      <c r="BNG37" s="299"/>
      <c r="BNH37" s="299"/>
      <c r="BNI37" s="299"/>
      <c r="BNJ37" s="299"/>
      <c r="BNK37" s="299"/>
      <c r="BNL37" s="299"/>
      <c r="BNM37" s="299"/>
      <c r="BNN37" s="299"/>
      <c r="BNO37" s="299"/>
      <c r="BNP37" s="299"/>
      <c r="BNQ37" s="299"/>
      <c r="BNR37" s="299"/>
      <c r="BNS37" s="299"/>
      <c r="BNT37" s="299"/>
      <c r="BNU37" s="299"/>
      <c r="BNV37" s="299"/>
      <c r="BNW37" s="299"/>
      <c r="BNX37" s="299"/>
      <c r="BNY37" s="299"/>
      <c r="BNZ37" s="299"/>
      <c r="BOA37" s="299"/>
      <c r="BOB37" s="299"/>
      <c r="BOC37" s="299"/>
      <c r="BOD37" s="299"/>
      <c r="BOE37" s="299"/>
      <c r="BOF37" s="299"/>
      <c r="BOG37" s="299"/>
      <c r="BOH37" s="299"/>
      <c r="BOI37" s="299"/>
      <c r="BOJ37" s="299"/>
      <c r="BOK37" s="299"/>
      <c r="BOL37" s="299"/>
      <c r="BOM37" s="299"/>
      <c r="BON37" s="299"/>
      <c r="BOO37" s="299"/>
      <c r="BOP37" s="299"/>
      <c r="BOQ37" s="299"/>
      <c r="BOR37" s="299"/>
      <c r="BOS37" s="299"/>
      <c r="BOT37" s="299"/>
      <c r="BOU37" s="299"/>
      <c r="BOV37" s="299"/>
      <c r="BOW37" s="299"/>
      <c r="BOX37" s="299"/>
      <c r="BOY37" s="299"/>
      <c r="BOZ37" s="299"/>
      <c r="BPA37" s="299"/>
      <c r="BPB37" s="299"/>
      <c r="BPC37" s="299"/>
      <c r="BPD37" s="299"/>
      <c r="BPE37" s="299"/>
      <c r="BPF37" s="299"/>
      <c r="BPG37" s="299"/>
      <c r="BPH37" s="299"/>
      <c r="BPI37" s="299"/>
      <c r="BPJ37" s="299"/>
      <c r="BPK37" s="299"/>
      <c r="BPL37" s="299"/>
      <c r="BPM37" s="299"/>
      <c r="BPN37" s="299"/>
      <c r="BPO37" s="299"/>
      <c r="BPP37" s="299"/>
      <c r="BPQ37" s="299"/>
      <c r="BPR37" s="299"/>
      <c r="BPS37" s="299"/>
      <c r="BPT37" s="299"/>
      <c r="BPU37" s="299"/>
      <c r="BPV37" s="299"/>
      <c r="BPW37" s="299"/>
      <c r="BPX37" s="299"/>
      <c r="BPY37" s="299"/>
      <c r="BPZ37" s="299"/>
      <c r="BQA37" s="299"/>
      <c r="BQB37" s="299"/>
      <c r="BQC37" s="299"/>
      <c r="BQD37" s="299"/>
      <c r="BQE37" s="299"/>
      <c r="BQF37" s="299"/>
      <c r="BQG37" s="299"/>
      <c r="BQH37" s="299"/>
      <c r="BQI37" s="299"/>
      <c r="BQJ37" s="299"/>
      <c r="BQK37" s="299"/>
      <c r="BQL37" s="299"/>
      <c r="BQM37" s="299"/>
      <c r="BQN37" s="299"/>
      <c r="BQO37" s="299"/>
      <c r="BQP37" s="299"/>
      <c r="BQQ37" s="299"/>
      <c r="BQR37" s="299"/>
      <c r="BQS37" s="299"/>
      <c r="BQT37" s="299"/>
      <c r="BQU37" s="299"/>
      <c r="BQV37" s="299"/>
      <c r="BQW37" s="299"/>
      <c r="BQX37" s="299"/>
      <c r="BQY37" s="299"/>
      <c r="BQZ37" s="299"/>
      <c r="BRA37" s="299"/>
      <c r="BRB37" s="299"/>
      <c r="BRC37" s="299"/>
      <c r="BRD37" s="299"/>
      <c r="BRE37" s="299"/>
      <c r="BRF37" s="299"/>
      <c r="BRG37" s="299"/>
      <c r="BRH37" s="299"/>
      <c r="BRI37" s="299"/>
      <c r="BRJ37" s="299"/>
      <c r="BRK37" s="299"/>
      <c r="BRL37" s="299"/>
      <c r="BRM37" s="299"/>
      <c r="BRN37" s="299"/>
      <c r="BRO37" s="299"/>
      <c r="BRP37" s="299"/>
      <c r="BRQ37" s="299"/>
      <c r="BRR37" s="299"/>
      <c r="BRS37" s="299"/>
      <c r="BRT37" s="299"/>
      <c r="BRU37" s="299"/>
      <c r="BRV37" s="299"/>
      <c r="BRW37" s="299"/>
      <c r="BRX37" s="299"/>
      <c r="BRY37" s="299"/>
      <c r="BRZ37" s="299"/>
      <c r="BSA37" s="299"/>
      <c r="BSB37" s="299"/>
      <c r="BSC37" s="299"/>
      <c r="BSD37" s="299"/>
      <c r="BSE37" s="299"/>
      <c r="BSF37" s="299"/>
      <c r="BSG37" s="299"/>
      <c r="BSH37" s="299"/>
      <c r="BSI37" s="299"/>
      <c r="BSJ37" s="299"/>
      <c r="BSK37" s="299"/>
      <c r="BSL37" s="299"/>
      <c r="BSM37" s="299"/>
      <c r="BSN37" s="299"/>
      <c r="BSO37" s="299"/>
      <c r="BSP37" s="299"/>
      <c r="BSQ37" s="299"/>
      <c r="BSR37" s="299"/>
      <c r="BSS37" s="299"/>
      <c r="BST37" s="299"/>
      <c r="BSU37" s="299"/>
      <c r="BSV37" s="299"/>
      <c r="BSW37" s="299"/>
      <c r="BSX37" s="299"/>
      <c r="BSY37" s="299"/>
      <c r="BSZ37" s="299"/>
      <c r="BTA37" s="299"/>
      <c r="BTB37" s="299"/>
      <c r="BTC37" s="299"/>
      <c r="BTD37" s="299"/>
      <c r="BTE37" s="299"/>
      <c r="BTF37" s="299"/>
      <c r="BTG37" s="299"/>
      <c r="BTH37" s="299"/>
      <c r="BTI37" s="299"/>
      <c r="BTJ37" s="299"/>
      <c r="BTK37" s="299"/>
      <c r="BTL37" s="299"/>
      <c r="BTM37" s="299"/>
      <c r="BTN37" s="299"/>
      <c r="BTO37" s="299"/>
      <c r="BTP37" s="299"/>
      <c r="BTQ37" s="299"/>
      <c r="BTR37" s="299"/>
      <c r="BTS37" s="299"/>
      <c r="BTT37" s="299"/>
      <c r="BTU37" s="299"/>
      <c r="BTV37" s="299"/>
      <c r="BTW37" s="299"/>
      <c r="BTX37" s="299"/>
      <c r="BTY37" s="299"/>
      <c r="BTZ37" s="299"/>
      <c r="BUA37" s="299"/>
      <c r="BUB37" s="299"/>
      <c r="BUC37" s="299"/>
      <c r="BUD37" s="299"/>
      <c r="BUE37" s="299"/>
      <c r="BUF37" s="299"/>
      <c r="BUG37" s="299"/>
      <c r="BUH37" s="299"/>
      <c r="BUI37" s="299"/>
      <c r="BUJ37" s="299"/>
      <c r="BUK37" s="299"/>
      <c r="BUL37" s="299"/>
      <c r="BUM37" s="299"/>
      <c r="BUN37" s="299"/>
      <c r="BUO37" s="299"/>
      <c r="BUP37" s="299"/>
      <c r="BUQ37" s="299"/>
      <c r="BUR37" s="299"/>
      <c r="BUS37" s="299"/>
      <c r="BUT37" s="299"/>
      <c r="BUU37" s="299"/>
      <c r="BUV37" s="299"/>
      <c r="BUW37" s="299"/>
      <c r="BUX37" s="299"/>
      <c r="BUY37" s="299"/>
      <c r="BUZ37" s="299"/>
      <c r="BVA37" s="299"/>
      <c r="BVB37" s="299"/>
      <c r="BVC37" s="299"/>
      <c r="BVD37" s="299"/>
      <c r="BVE37" s="299"/>
      <c r="BVF37" s="299"/>
      <c r="BVG37" s="299"/>
      <c r="BVH37" s="299"/>
      <c r="BVI37" s="299"/>
      <c r="BVJ37" s="299"/>
      <c r="BVK37" s="299"/>
      <c r="BVL37" s="299"/>
      <c r="BVM37" s="299"/>
      <c r="BVN37" s="299"/>
      <c r="BVO37" s="299"/>
      <c r="BVP37" s="299"/>
      <c r="BVQ37" s="299"/>
      <c r="BVR37" s="299"/>
      <c r="BVS37" s="299"/>
      <c r="BVT37" s="299"/>
      <c r="BVU37" s="299"/>
      <c r="BVV37" s="299"/>
      <c r="BVW37" s="299"/>
      <c r="BVX37" s="299"/>
      <c r="BVY37" s="299"/>
      <c r="BVZ37" s="299"/>
      <c r="BWA37" s="299"/>
      <c r="BWB37" s="299"/>
      <c r="BWC37" s="299"/>
      <c r="BWD37" s="299"/>
      <c r="BWE37" s="299"/>
      <c r="BWF37" s="299"/>
      <c r="BWG37" s="299"/>
      <c r="BWH37" s="299"/>
      <c r="BWI37" s="299"/>
      <c r="BWJ37" s="299"/>
      <c r="BWK37" s="299"/>
      <c r="BWL37" s="299"/>
      <c r="BWM37" s="299"/>
      <c r="BWN37" s="299"/>
      <c r="BWO37" s="299"/>
      <c r="BWP37" s="299"/>
      <c r="BWQ37" s="299"/>
      <c r="BWR37" s="299"/>
      <c r="BWS37" s="299"/>
      <c r="BWT37" s="299"/>
      <c r="BWU37" s="299"/>
      <c r="BWV37" s="299"/>
      <c r="BWW37" s="299"/>
      <c r="BWX37" s="299"/>
      <c r="BWY37" s="299"/>
      <c r="BWZ37" s="299"/>
      <c r="BXA37" s="299"/>
      <c r="BXB37" s="299"/>
      <c r="BXC37" s="299"/>
      <c r="BXD37" s="299"/>
      <c r="BXE37" s="299"/>
      <c r="BXF37" s="299"/>
      <c r="BXG37" s="299"/>
      <c r="BXH37" s="299"/>
      <c r="BXI37" s="299"/>
      <c r="BXJ37" s="299"/>
      <c r="BXK37" s="299"/>
      <c r="BXL37" s="299"/>
      <c r="BXM37" s="299"/>
      <c r="BXN37" s="299"/>
      <c r="BXO37" s="299"/>
      <c r="BXP37" s="299"/>
      <c r="BXQ37" s="299"/>
      <c r="BXR37" s="299"/>
      <c r="BXS37" s="299"/>
      <c r="BXT37" s="299"/>
      <c r="BXU37" s="299"/>
      <c r="BXV37" s="299"/>
      <c r="BXW37" s="299"/>
      <c r="BXX37" s="299"/>
      <c r="BXY37" s="299"/>
      <c r="BXZ37" s="299"/>
      <c r="BYA37" s="299"/>
      <c r="BYB37" s="299"/>
      <c r="BYC37" s="299"/>
      <c r="BYD37" s="299"/>
      <c r="BYE37" s="299"/>
      <c r="BYF37" s="299"/>
      <c r="BYG37" s="299"/>
      <c r="BYH37" s="299"/>
      <c r="BYI37" s="299"/>
      <c r="BYJ37" s="299"/>
      <c r="BYK37" s="299"/>
      <c r="BYL37" s="299"/>
      <c r="BYM37" s="299"/>
      <c r="BYN37" s="299"/>
      <c r="BYO37" s="299"/>
      <c r="BYP37" s="299"/>
      <c r="BYQ37" s="299"/>
      <c r="BYR37" s="299"/>
      <c r="BYS37" s="299"/>
      <c r="BYT37" s="299"/>
      <c r="BYU37" s="299"/>
      <c r="BYV37" s="299"/>
      <c r="BYW37" s="299"/>
      <c r="BYX37" s="299"/>
      <c r="BYY37" s="299"/>
      <c r="BYZ37" s="299"/>
      <c r="BZA37" s="299"/>
      <c r="BZB37" s="299"/>
      <c r="BZC37" s="299"/>
      <c r="BZD37" s="299"/>
      <c r="BZE37" s="299"/>
      <c r="BZF37" s="299"/>
      <c r="BZG37" s="299"/>
      <c r="BZH37" s="299"/>
      <c r="BZI37" s="299"/>
      <c r="BZJ37" s="299"/>
      <c r="BZK37" s="299"/>
      <c r="BZL37" s="299"/>
      <c r="BZM37" s="299"/>
      <c r="BZN37" s="299"/>
      <c r="BZO37" s="299"/>
      <c r="BZP37" s="299"/>
      <c r="BZQ37" s="299"/>
      <c r="BZR37" s="299"/>
      <c r="BZS37" s="299"/>
      <c r="BZT37" s="299"/>
      <c r="BZU37" s="299"/>
      <c r="BZV37" s="299"/>
      <c r="BZW37" s="299"/>
      <c r="BZX37" s="299"/>
      <c r="BZY37" s="299"/>
      <c r="BZZ37" s="299"/>
      <c r="CAA37" s="299"/>
      <c r="CAB37" s="299"/>
      <c r="CAC37" s="299"/>
      <c r="CAD37" s="299"/>
      <c r="CAE37" s="299"/>
      <c r="CAF37" s="299"/>
      <c r="CAG37" s="299"/>
      <c r="CAH37" s="299"/>
      <c r="CAI37" s="299"/>
      <c r="CAJ37" s="299"/>
      <c r="CAK37" s="299"/>
      <c r="CAL37" s="299"/>
      <c r="CAM37" s="299"/>
      <c r="CAN37" s="299"/>
      <c r="CAO37" s="299"/>
      <c r="CAP37" s="299"/>
      <c r="CAQ37" s="299"/>
      <c r="CAR37" s="299"/>
      <c r="CAS37" s="299"/>
      <c r="CAT37" s="299"/>
      <c r="CAU37" s="299"/>
      <c r="CAV37" s="299"/>
      <c r="CAW37" s="299"/>
      <c r="CAX37" s="299"/>
      <c r="CAY37" s="299"/>
      <c r="CAZ37" s="299"/>
      <c r="CBA37" s="299"/>
      <c r="CBB37" s="299"/>
      <c r="CBC37" s="299"/>
      <c r="CBD37" s="299"/>
      <c r="CBE37" s="299"/>
      <c r="CBF37" s="299"/>
      <c r="CBG37" s="299"/>
      <c r="CBH37" s="299"/>
      <c r="CBI37" s="299"/>
      <c r="CBJ37" s="299"/>
      <c r="CBK37" s="299"/>
      <c r="CBL37" s="299"/>
      <c r="CBM37" s="299"/>
      <c r="CBN37" s="299"/>
      <c r="CBO37" s="299"/>
      <c r="CBP37" s="299"/>
      <c r="CBQ37" s="299"/>
      <c r="CBR37" s="299"/>
      <c r="CBS37" s="299"/>
      <c r="CBT37" s="299"/>
      <c r="CBU37" s="299"/>
      <c r="CBV37" s="299"/>
      <c r="CBW37" s="299"/>
      <c r="CBX37" s="299"/>
      <c r="CBY37" s="299"/>
      <c r="CBZ37" s="299"/>
      <c r="CCA37" s="299"/>
      <c r="CCB37" s="299"/>
      <c r="CCC37" s="299"/>
      <c r="CCD37" s="299"/>
      <c r="CCE37" s="299"/>
      <c r="CCF37" s="299"/>
      <c r="CCG37" s="299"/>
      <c r="CCH37" s="299"/>
      <c r="CCI37" s="299"/>
      <c r="CCJ37" s="299"/>
      <c r="CCK37" s="299"/>
      <c r="CCL37" s="299"/>
      <c r="CCM37" s="299"/>
      <c r="CCN37" s="299"/>
      <c r="CCO37" s="299"/>
      <c r="CCP37" s="299"/>
      <c r="CCQ37" s="299"/>
      <c r="CCR37" s="299"/>
      <c r="CCS37" s="299"/>
      <c r="CCT37" s="299"/>
      <c r="CCU37" s="299"/>
      <c r="CCV37" s="299"/>
      <c r="CCW37" s="299"/>
      <c r="CCX37" s="299"/>
      <c r="CCY37" s="299"/>
      <c r="CCZ37" s="299"/>
      <c r="CDA37" s="299"/>
      <c r="CDB37" s="299"/>
      <c r="CDC37" s="299"/>
      <c r="CDD37" s="299"/>
      <c r="CDE37" s="299"/>
      <c r="CDF37" s="299"/>
      <c r="CDG37" s="299"/>
      <c r="CDH37" s="299"/>
      <c r="CDI37" s="299"/>
      <c r="CDJ37" s="299"/>
      <c r="CDK37" s="299"/>
      <c r="CDL37" s="299"/>
      <c r="CDM37" s="299"/>
      <c r="CDN37" s="299"/>
      <c r="CDO37" s="299"/>
      <c r="CDP37" s="299"/>
      <c r="CDQ37" s="299"/>
      <c r="CDR37" s="299"/>
      <c r="CDS37" s="299"/>
      <c r="CDT37" s="299"/>
      <c r="CDU37" s="299"/>
      <c r="CDV37" s="299"/>
      <c r="CDW37" s="299"/>
      <c r="CDX37" s="299"/>
      <c r="CDY37" s="299"/>
      <c r="CDZ37" s="299"/>
      <c r="CEA37" s="299"/>
      <c r="CEB37" s="299"/>
      <c r="CEC37" s="299"/>
      <c r="CED37" s="299"/>
      <c r="CEE37" s="299"/>
      <c r="CEF37" s="299"/>
      <c r="CEG37" s="299"/>
      <c r="CEH37" s="299"/>
      <c r="CEI37" s="299"/>
      <c r="CEJ37" s="299"/>
      <c r="CEK37" s="299"/>
      <c r="CEL37" s="299"/>
      <c r="CEM37" s="299"/>
      <c r="CEN37" s="299"/>
      <c r="CEO37" s="299"/>
      <c r="CEP37" s="299"/>
      <c r="CEQ37" s="299"/>
      <c r="CER37" s="299"/>
      <c r="CES37" s="299"/>
      <c r="CET37" s="299"/>
      <c r="CEU37" s="299"/>
      <c r="CEV37" s="299"/>
      <c r="CEW37" s="299"/>
      <c r="CEX37" s="299"/>
      <c r="CEY37" s="299"/>
      <c r="CEZ37" s="299"/>
      <c r="CFA37" s="299"/>
      <c r="CFB37" s="299"/>
      <c r="CFC37" s="299"/>
      <c r="CFD37" s="299"/>
      <c r="CFE37" s="299"/>
      <c r="CFF37" s="299"/>
      <c r="CFG37" s="299"/>
      <c r="CFH37" s="299"/>
      <c r="CFI37" s="299"/>
      <c r="CFJ37" s="299"/>
      <c r="CFK37" s="299"/>
      <c r="CFL37" s="299"/>
      <c r="CFM37" s="299"/>
      <c r="CFN37" s="299"/>
      <c r="CFO37" s="299"/>
      <c r="CFP37" s="299"/>
      <c r="CFQ37" s="299"/>
      <c r="CFR37" s="299"/>
      <c r="CFS37" s="299"/>
      <c r="CFT37" s="299"/>
      <c r="CFU37" s="299"/>
      <c r="CFV37" s="299"/>
      <c r="CFW37" s="299"/>
      <c r="CFX37" s="299"/>
      <c r="CFY37" s="299"/>
      <c r="CFZ37" s="299"/>
      <c r="CGA37" s="299"/>
      <c r="CGB37" s="299"/>
      <c r="CGC37" s="299"/>
      <c r="CGD37" s="299"/>
      <c r="CGE37" s="299"/>
      <c r="CGF37" s="299"/>
      <c r="CGG37" s="299"/>
      <c r="CGH37" s="299"/>
      <c r="CGI37" s="299"/>
      <c r="CGJ37" s="299"/>
      <c r="CGK37" s="299"/>
      <c r="CGL37" s="299"/>
      <c r="CGM37" s="299"/>
      <c r="CGN37" s="299"/>
      <c r="CGO37" s="299"/>
      <c r="CGP37" s="299"/>
      <c r="CGQ37" s="299"/>
      <c r="CGR37" s="299"/>
      <c r="CGS37" s="299"/>
      <c r="CGT37" s="299"/>
      <c r="CGU37" s="299"/>
      <c r="CGV37" s="299"/>
      <c r="CGW37" s="299"/>
      <c r="CGX37" s="299"/>
      <c r="CGY37" s="299"/>
      <c r="CGZ37" s="299"/>
      <c r="CHA37" s="299"/>
      <c r="CHB37" s="299"/>
      <c r="CHC37" s="299"/>
      <c r="CHD37" s="299"/>
      <c r="CHE37" s="299"/>
      <c r="CHF37" s="299"/>
      <c r="CHG37" s="299"/>
      <c r="CHH37" s="299"/>
      <c r="CHI37" s="299"/>
      <c r="CHJ37" s="299"/>
      <c r="CHK37" s="299"/>
      <c r="CHL37" s="299"/>
      <c r="CHM37" s="299"/>
      <c r="CHN37" s="299"/>
      <c r="CHO37" s="299"/>
      <c r="CHP37" s="299"/>
      <c r="CHQ37" s="299"/>
      <c r="CHR37" s="299"/>
      <c r="CHS37" s="299"/>
      <c r="CHT37" s="299"/>
      <c r="CHU37" s="299"/>
      <c r="CHV37" s="299"/>
      <c r="CHW37" s="299"/>
      <c r="CHX37" s="299"/>
      <c r="CHY37" s="299"/>
      <c r="CHZ37" s="299"/>
      <c r="CIA37" s="299"/>
      <c r="CIB37" s="299"/>
      <c r="CIC37" s="299"/>
      <c r="CID37" s="299"/>
      <c r="CIE37" s="299"/>
      <c r="CIF37" s="299"/>
      <c r="CIG37" s="299"/>
      <c r="CIH37" s="299"/>
      <c r="CII37" s="299"/>
      <c r="CIJ37" s="299"/>
      <c r="CIK37" s="299"/>
      <c r="CIL37" s="299"/>
      <c r="CIM37" s="299"/>
      <c r="CIN37" s="299"/>
      <c r="CIO37" s="299"/>
      <c r="CIP37" s="299"/>
      <c r="CIQ37" s="299"/>
      <c r="CIR37" s="299"/>
      <c r="CIS37" s="299"/>
      <c r="CIT37" s="299"/>
      <c r="CIU37" s="299"/>
      <c r="CIV37" s="299"/>
      <c r="CIW37" s="299"/>
      <c r="CIX37" s="299"/>
      <c r="CIY37" s="299"/>
      <c r="CIZ37" s="299"/>
      <c r="CJA37" s="299"/>
      <c r="CJB37" s="299"/>
      <c r="CJC37" s="299"/>
      <c r="CJD37" s="299"/>
      <c r="CJE37" s="299"/>
      <c r="CJF37" s="299"/>
      <c r="CJG37" s="299"/>
      <c r="CJH37" s="299"/>
      <c r="CJI37" s="299"/>
      <c r="CJJ37" s="299"/>
      <c r="CJK37" s="299"/>
      <c r="CJL37" s="299"/>
      <c r="CJM37" s="299"/>
      <c r="CJN37" s="299"/>
      <c r="CJO37" s="299"/>
      <c r="CJP37" s="299"/>
      <c r="CJQ37" s="299"/>
      <c r="CJR37" s="299"/>
      <c r="CJS37" s="299"/>
      <c r="CJT37" s="299"/>
      <c r="CJU37" s="299"/>
      <c r="CJV37" s="299"/>
      <c r="CJW37" s="299"/>
      <c r="CJX37" s="299"/>
      <c r="CJY37" s="299"/>
      <c r="CJZ37" s="299"/>
      <c r="CKA37" s="299"/>
      <c r="CKB37" s="299"/>
      <c r="CKC37" s="299"/>
      <c r="CKD37" s="299"/>
      <c r="CKE37" s="299"/>
      <c r="CKF37" s="299"/>
      <c r="CKG37" s="299"/>
      <c r="CKH37" s="299"/>
      <c r="CKI37" s="299"/>
      <c r="CKJ37" s="299"/>
      <c r="CKK37" s="299"/>
      <c r="CKL37" s="299"/>
      <c r="CKM37" s="299"/>
      <c r="CKN37" s="299"/>
      <c r="CKO37" s="299"/>
      <c r="CKP37" s="299"/>
      <c r="CKQ37" s="299"/>
      <c r="CKR37" s="299"/>
      <c r="CKS37" s="299"/>
      <c r="CKT37" s="299"/>
      <c r="CKU37" s="299"/>
      <c r="CKV37" s="299"/>
      <c r="CKW37" s="299"/>
      <c r="CKX37" s="299"/>
      <c r="CKY37" s="299"/>
      <c r="CKZ37" s="299"/>
      <c r="CLA37" s="299"/>
      <c r="CLB37" s="299"/>
      <c r="CLC37" s="299"/>
      <c r="CLD37" s="299"/>
      <c r="CLE37" s="299"/>
      <c r="CLF37" s="299"/>
      <c r="CLG37" s="299"/>
      <c r="CLH37" s="299"/>
      <c r="CLI37" s="299"/>
      <c r="CLJ37" s="299"/>
      <c r="CLK37" s="299"/>
      <c r="CLL37" s="299"/>
      <c r="CLM37" s="299"/>
      <c r="CLN37" s="299"/>
      <c r="CLO37" s="299"/>
      <c r="CLP37" s="299"/>
      <c r="CLQ37" s="299"/>
      <c r="CLR37" s="299"/>
      <c r="CLS37" s="299"/>
      <c r="CLT37" s="299"/>
      <c r="CLU37" s="299"/>
      <c r="CLV37" s="299"/>
      <c r="CLW37" s="299"/>
      <c r="CLX37" s="299"/>
      <c r="CLY37" s="299"/>
      <c r="CLZ37" s="299"/>
      <c r="CMA37" s="299"/>
      <c r="CMB37" s="299"/>
      <c r="CMC37" s="299"/>
      <c r="CMD37" s="299"/>
      <c r="CME37" s="299"/>
      <c r="CMF37" s="299"/>
      <c r="CMG37" s="299"/>
      <c r="CMH37" s="299"/>
      <c r="CMI37" s="299"/>
      <c r="CMJ37" s="299"/>
      <c r="CMK37" s="299"/>
      <c r="CML37" s="299"/>
      <c r="CMM37" s="299"/>
      <c r="CMN37" s="299"/>
      <c r="CMO37" s="299"/>
      <c r="CMP37" s="299"/>
      <c r="CMQ37" s="299"/>
      <c r="CMR37" s="299"/>
      <c r="CMS37" s="299"/>
      <c r="CMT37" s="299"/>
      <c r="CMU37" s="299"/>
      <c r="CMV37" s="299"/>
      <c r="CMW37" s="299"/>
      <c r="CMX37" s="299"/>
      <c r="CMY37" s="299"/>
      <c r="CMZ37" s="299"/>
      <c r="CNA37" s="299"/>
      <c r="CNB37" s="299"/>
      <c r="CNC37" s="299"/>
      <c r="CND37" s="299"/>
      <c r="CNE37" s="299"/>
      <c r="CNF37" s="299"/>
      <c r="CNG37" s="299"/>
      <c r="CNH37" s="299"/>
      <c r="CNI37" s="299"/>
      <c r="CNJ37" s="299"/>
      <c r="CNK37" s="299"/>
      <c r="CNL37" s="299"/>
      <c r="CNM37" s="299"/>
      <c r="CNN37" s="299"/>
      <c r="CNO37" s="299"/>
      <c r="CNP37" s="299"/>
      <c r="CNQ37" s="299"/>
      <c r="CNR37" s="299"/>
      <c r="CNS37" s="299"/>
      <c r="CNT37" s="299"/>
      <c r="CNU37" s="299"/>
      <c r="CNV37" s="299"/>
      <c r="CNW37" s="299"/>
      <c r="CNX37" s="299"/>
      <c r="CNY37" s="299"/>
      <c r="CNZ37" s="299"/>
      <c r="COA37" s="299"/>
      <c r="COB37" s="299"/>
      <c r="COC37" s="299"/>
      <c r="COD37" s="299"/>
      <c r="COE37" s="299"/>
      <c r="COF37" s="299"/>
      <c r="COG37" s="299"/>
      <c r="COH37" s="299"/>
      <c r="COI37" s="299"/>
      <c r="COJ37" s="299"/>
      <c r="COK37" s="299"/>
      <c r="COL37" s="299"/>
      <c r="COM37" s="299"/>
      <c r="CON37" s="299"/>
      <c r="COO37" s="299"/>
      <c r="COP37" s="299"/>
      <c r="COQ37" s="299"/>
      <c r="COR37" s="299"/>
      <c r="COS37" s="299"/>
      <c r="COT37" s="299"/>
      <c r="COU37" s="299"/>
      <c r="COV37" s="299"/>
      <c r="COW37" s="299"/>
      <c r="COX37" s="299"/>
      <c r="COY37" s="299"/>
      <c r="COZ37" s="299"/>
      <c r="CPA37" s="299"/>
      <c r="CPB37" s="299"/>
      <c r="CPC37" s="299"/>
      <c r="CPD37" s="299"/>
      <c r="CPE37" s="299"/>
      <c r="CPF37" s="299"/>
      <c r="CPG37" s="299"/>
      <c r="CPH37" s="299"/>
      <c r="CPI37" s="299"/>
      <c r="CPJ37" s="299"/>
      <c r="CPK37" s="299"/>
      <c r="CPL37" s="299"/>
      <c r="CPM37" s="299"/>
      <c r="CPN37" s="299"/>
      <c r="CPO37" s="299"/>
      <c r="CPP37" s="299"/>
      <c r="CPQ37" s="299"/>
      <c r="CPR37" s="299"/>
      <c r="CPS37" s="299"/>
      <c r="CPT37" s="299"/>
      <c r="CPU37" s="299"/>
      <c r="CPV37" s="299"/>
      <c r="CPW37" s="299"/>
      <c r="CPX37" s="299"/>
      <c r="CPY37" s="299"/>
      <c r="CPZ37" s="299"/>
      <c r="CQA37" s="299"/>
      <c r="CQB37" s="299"/>
      <c r="CQC37" s="299"/>
      <c r="CQD37" s="299"/>
      <c r="CQE37" s="299"/>
      <c r="CQF37" s="299"/>
      <c r="CQG37" s="299"/>
      <c r="CQH37" s="299"/>
      <c r="CQI37" s="299"/>
      <c r="CQJ37" s="299"/>
      <c r="CQK37" s="299"/>
      <c r="CQL37" s="299"/>
      <c r="CQM37" s="299"/>
      <c r="CQN37" s="299"/>
      <c r="CQO37" s="299"/>
      <c r="CQP37" s="299"/>
      <c r="CQQ37" s="299"/>
      <c r="CQR37" s="299"/>
      <c r="CQS37" s="299"/>
      <c r="CQT37" s="299"/>
      <c r="CQU37" s="299"/>
      <c r="CQV37" s="299"/>
      <c r="CQW37" s="299"/>
      <c r="CQX37" s="299"/>
      <c r="CQY37" s="299"/>
      <c r="CQZ37" s="299"/>
      <c r="CRA37" s="299"/>
      <c r="CRB37" s="299"/>
      <c r="CRC37" s="299"/>
      <c r="CRD37" s="299"/>
      <c r="CRE37" s="299"/>
      <c r="CRF37" s="299"/>
      <c r="CRG37" s="299"/>
      <c r="CRH37" s="299"/>
      <c r="CRI37" s="299"/>
      <c r="CRJ37" s="299"/>
      <c r="CRK37" s="299"/>
      <c r="CRL37" s="299"/>
      <c r="CRM37" s="299"/>
      <c r="CRN37" s="299"/>
      <c r="CRO37" s="299"/>
      <c r="CRP37" s="299"/>
      <c r="CRQ37" s="299"/>
      <c r="CRR37" s="299"/>
      <c r="CRS37" s="299"/>
      <c r="CRT37" s="299"/>
      <c r="CRU37" s="299"/>
      <c r="CRV37" s="299"/>
      <c r="CRW37" s="299"/>
      <c r="CRX37" s="299"/>
      <c r="CRY37" s="299"/>
      <c r="CRZ37" s="299"/>
      <c r="CSA37" s="299"/>
      <c r="CSB37" s="299"/>
      <c r="CSC37" s="299"/>
      <c r="CSD37" s="299"/>
      <c r="CSE37" s="299"/>
      <c r="CSF37" s="299"/>
      <c r="CSG37" s="299"/>
      <c r="CSH37" s="299"/>
      <c r="CSI37" s="299"/>
      <c r="CSJ37" s="299"/>
      <c r="CSK37" s="299"/>
      <c r="CSL37" s="299"/>
      <c r="CSM37" s="299"/>
      <c r="CSN37" s="299"/>
      <c r="CSO37" s="299"/>
      <c r="CSP37" s="299"/>
      <c r="CSQ37" s="299"/>
      <c r="CSR37" s="299"/>
      <c r="CSS37" s="299"/>
      <c r="CST37" s="299"/>
      <c r="CSU37" s="299"/>
      <c r="CSV37" s="299"/>
      <c r="CSW37" s="299"/>
      <c r="CSX37" s="299"/>
      <c r="CSY37" s="299"/>
      <c r="CSZ37" s="299"/>
      <c r="CTA37" s="299"/>
      <c r="CTB37" s="299"/>
      <c r="CTC37" s="299"/>
      <c r="CTD37" s="299"/>
      <c r="CTE37" s="299"/>
      <c r="CTF37" s="299"/>
      <c r="CTG37" s="299"/>
      <c r="CTH37" s="299"/>
      <c r="CTI37" s="299"/>
      <c r="CTJ37" s="299"/>
      <c r="CTK37" s="299"/>
      <c r="CTL37" s="299"/>
      <c r="CTM37" s="299"/>
      <c r="CTN37" s="299"/>
      <c r="CTO37" s="299"/>
      <c r="CTP37" s="299"/>
      <c r="CTQ37" s="299"/>
      <c r="CTR37" s="299"/>
      <c r="CTS37" s="299"/>
      <c r="CTT37" s="299"/>
      <c r="CTU37" s="299"/>
      <c r="CTV37" s="299"/>
      <c r="CTW37" s="299"/>
      <c r="CTX37" s="299"/>
      <c r="CTY37" s="299"/>
      <c r="CTZ37" s="299"/>
      <c r="CUA37" s="299"/>
      <c r="CUB37" s="299"/>
      <c r="CUC37" s="299"/>
      <c r="CUD37" s="299"/>
      <c r="CUE37" s="299"/>
      <c r="CUF37" s="299"/>
      <c r="CUG37" s="299"/>
      <c r="CUH37" s="299"/>
      <c r="CUI37" s="299"/>
      <c r="CUJ37" s="299"/>
      <c r="CUK37" s="299"/>
      <c r="CUL37" s="299"/>
      <c r="CUM37" s="299"/>
      <c r="CUN37" s="299"/>
      <c r="CUO37" s="299"/>
      <c r="CUP37" s="299"/>
      <c r="CUQ37" s="299"/>
      <c r="CUR37" s="299"/>
      <c r="CUS37" s="299"/>
      <c r="CUT37" s="299"/>
      <c r="CUU37" s="299"/>
      <c r="CUV37" s="299"/>
      <c r="CUW37" s="299"/>
      <c r="CUX37" s="299"/>
      <c r="CUY37" s="299"/>
      <c r="CUZ37" s="299"/>
      <c r="CVA37" s="299"/>
      <c r="CVB37" s="299"/>
      <c r="CVC37" s="299"/>
      <c r="CVD37" s="299"/>
      <c r="CVE37" s="299"/>
      <c r="CVF37" s="299"/>
      <c r="CVG37" s="299"/>
      <c r="CVH37" s="299"/>
      <c r="CVI37" s="299"/>
      <c r="CVJ37" s="299"/>
      <c r="CVK37" s="299"/>
      <c r="CVL37" s="299"/>
      <c r="CVM37" s="299"/>
      <c r="CVN37" s="299"/>
      <c r="CVO37" s="299"/>
      <c r="CVP37" s="299"/>
      <c r="CVQ37" s="299"/>
      <c r="CVR37" s="299"/>
      <c r="CVS37" s="299"/>
      <c r="CVT37" s="299"/>
      <c r="CVU37" s="299"/>
      <c r="CVV37" s="299"/>
      <c r="CVW37" s="299"/>
      <c r="CVX37" s="299"/>
      <c r="CVY37" s="299"/>
      <c r="CVZ37" s="299"/>
      <c r="CWA37" s="299"/>
      <c r="CWB37" s="299"/>
      <c r="CWC37" s="299"/>
      <c r="CWD37" s="299"/>
      <c r="CWE37" s="299"/>
      <c r="CWF37" s="299"/>
      <c r="CWG37" s="299"/>
      <c r="CWH37" s="299"/>
      <c r="CWI37" s="299"/>
      <c r="CWJ37" s="299"/>
      <c r="CWK37" s="299"/>
      <c r="CWL37" s="299"/>
      <c r="CWM37" s="299"/>
      <c r="CWN37" s="299"/>
      <c r="CWO37" s="299"/>
      <c r="CWP37" s="299"/>
      <c r="CWQ37" s="299"/>
      <c r="CWR37" s="299"/>
      <c r="CWS37" s="299"/>
      <c r="CWT37" s="299"/>
      <c r="CWU37" s="299"/>
      <c r="CWV37" s="299"/>
      <c r="CWW37" s="299"/>
      <c r="CWX37" s="299"/>
      <c r="CWY37" s="299"/>
      <c r="CWZ37" s="299"/>
      <c r="CXA37" s="299"/>
      <c r="CXB37" s="299"/>
      <c r="CXC37" s="299"/>
      <c r="CXD37" s="299"/>
      <c r="CXE37" s="299"/>
      <c r="CXF37" s="299"/>
      <c r="CXG37" s="299"/>
      <c r="CXH37" s="299"/>
      <c r="CXI37" s="299"/>
      <c r="CXJ37" s="299"/>
      <c r="CXK37" s="299"/>
      <c r="CXL37" s="299"/>
      <c r="CXM37" s="299"/>
      <c r="CXN37" s="299"/>
      <c r="CXO37" s="299"/>
      <c r="CXP37" s="299"/>
      <c r="CXQ37" s="299"/>
      <c r="CXR37" s="299"/>
      <c r="CXS37" s="299"/>
      <c r="CXT37" s="299"/>
      <c r="CXU37" s="299"/>
      <c r="CXV37" s="299"/>
      <c r="CXW37" s="299"/>
      <c r="CXX37" s="299"/>
      <c r="CXY37" s="299"/>
      <c r="CXZ37" s="299"/>
      <c r="CYA37" s="299"/>
      <c r="CYB37" s="299"/>
      <c r="CYC37" s="299"/>
      <c r="CYD37" s="299"/>
      <c r="CYE37" s="299"/>
      <c r="CYF37" s="299"/>
      <c r="CYG37" s="299"/>
      <c r="CYH37" s="299"/>
      <c r="CYI37" s="299"/>
      <c r="CYJ37" s="299"/>
      <c r="CYK37" s="299"/>
      <c r="CYL37" s="299"/>
      <c r="CYM37" s="299"/>
      <c r="CYN37" s="299"/>
      <c r="CYO37" s="299"/>
      <c r="CYP37" s="299"/>
      <c r="CYQ37" s="299"/>
      <c r="CYR37" s="299"/>
      <c r="CYS37" s="299"/>
      <c r="CYT37" s="299"/>
      <c r="CYU37" s="299"/>
      <c r="CYV37" s="299"/>
      <c r="CYW37" s="299"/>
      <c r="CYX37" s="299"/>
      <c r="CYY37" s="299"/>
      <c r="CYZ37" s="299"/>
      <c r="CZA37" s="299"/>
      <c r="CZB37" s="299"/>
      <c r="CZC37" s="299"/>
      <c r="CZD37" s="299"/>
      <c r="CZE37" s="299"/>
      <c r="CZF37" s="299"/>
      <c r="CZG37" s="299"/>
      <c r="CZH37" s="299"/>
      <c r="CZI37" s="299"/>
      <c r="CZJ37" s="299"/>
      <c r="CZK37" s="299"/>
      <c r="CZL37" s="299"/>
      <c r="CZM37" s="299"/>
      <c r="CZN37" s="299"/>
      <c r="CZO37" s="299"/>
      <c r="CZP37" s="299"/>
      <c r="CZQ37" s="299"/>
      <c r="CZR37" s="299"/>
      <c r="CZS37" s="299"/>
      <c r="CZT37" s="299"/>
      <c r="CZU37" s="299"/>
      <c r="CZV37" s="299"/>
      <c r="CZW37" s="299"/>
      <c r="CZX37" s="299"/>
      <c r="CZY37" s="299"/>
      <c r="CZZ37" s="299"/>
      <c r="DAA37" s="299"/>
      <c r="DAB37" s="299"/>
      <c r="DAC37" s="299"/>
      <c r="DAD37" s="299"/>
      <c r="DAE37" s="299"/>
      <c r="DAF37" s="299"/>
      <c r="DAG37" s="299"/>
      <c r="DAH37" s="299"/>
      <c r="DAI37" s="299"/>
      <c r="DAJ37" s="299"/>
      <c r="DAK37" s="299"/>
      <c r="DAL37" s="299"/>
      <c r="DAM37" s="299"/>
      <c r="DAN37" s="299"/>
      <c r="DAO37" s="299"/>
      <c r="DAP37" s="299"/>
      <c r="DAQ37" s="299"/>
      <c r="DAR37" s="299"/>
      <c r="DAS37" s="299"/>
      <c r="DAT37" s="299"/>
      <c r="DAU37" s="299"/>
      <c r="DAV37" s="299"/>
      <c r="DAW37" s="299"/>
      <c r="DAX37" s="299"/>
      <c r="DAY37" s="299"/>
      <c r="DAZ37" s="299"/>
      <c r="DBA37" s="299"/>
      <c r="DBB37" s="299"/>
      <c r="DBC37" s="299"/>
      <c r="DBD37" s="299"/>
      <c r="DBE37" s="299"/>
      <c r="DBF37" s="299"/>
      <c r="DBG37" s="299"/>
      <c r="DBH37" s="299"/>
      <c r="DBI37" s="299"/>
      <c r="DBJ37" s="299"/>
      <c r="DBK37" s="299"/>
      <c r="DBL37" s="299"/>
      <c r="DBM37" s="299"/>
      <c r="DBN37" s="299"/>
      <c r="DBO37" s="299"/>
      <c r="DBP37" s="299"/>
      <c r="DBQ37" s="299"/>
      <c r="DBR37" s="299"/>
      <c r="DBS37" s="299"/>
      <c r="DBT37" s="299"/>
      <c r="DBU37" s="299"/>
      <c r="DBV37" s="299"/>
      <c r="DBW37" s="299"/>
      <c r="DBX37" s="299"/>
      <c r="DBY37" s="299"/>
      <c r="DBZ37" s="299"/>
      <c r="DCA37" s="299"/>
      <c r="DCB37" s="299"/>
      <c r="DCC37" s="299"/>
      <c r="DCD37" s="299"/>
      <c r="DCE37" s="299"/>
      <c r="DCF37" s="299"/>
      <c r="DCG37" s="299"/>
      <c r="DCH37" s="299"/>
      <c r="DCI37" s="299"/>
      <c r="DCJ37" s="299"/>
      <c r="DCK37" s="299"/>
      <c r="DCL37" s="299"/>
      <c r="DCM37" s="299"/>
      <c r="DCN37" s="299"/>
      <c r="DCO37" s="299"/>
      <c r="DCP37" s="299"/>
      <c r="DCQ37" s="299"/>
      <c r="DCR37" s="299"/>
      <c r="DCS37" s="299"/>
      <c r="DCT37" s="299"/>
      <c r="DCU37" s="299"/>
      <c r="DCV37" s="299"/>
      <c r="DCW37" s="299"/>
      <c r="DCX37" s="299"/>
      <c r="DCY37" s="299"/>
      <c r="DCZ37" s="299"/>
      <c r="DDA37" s="299"/>
      <c r="DDB37" s="299"/>
      <c r="DDC37" s="299"/>
      <c r="DDD37" s="299"/>
      <c r="DDE37" s="299"/>
      <c r="DDF37" s="299"/>
      <c r="DDG37" s="299"/>
      <c r="DDH37" s="299"/>
      <c r="DDI37" s="299"/>
      <c r="DDJ37" s="299"/>
      <c r="DDK37" s="299"/>
      <c r="DDL37" s="299"/>
      <c r="DDM37" s="299"/>
      <c r="DDN37" s="299"/>
      <c r="DDO37" s="299"/>
      <c r="DDP37" s="299"/>
      <c r="DDQ37" s="299"/>
      <c r="DDR37" s="299"/>
      <c r="DDS37" s="299"/>
      <c r="DDT37" s="299"/>
      <c r="DDU37" s="299"/>
      <c r="DDV37" s="299"/>
      <c r="DDW37" s="299"/>
      <c r="DDX37" s="299"/>
      <c r="DDY37" s="299"/>
      <c r="DDZ37" s="299"/>
      <c r="DEA37" s="299"/>
      <c r="DEB37" s="299"/>
      <c r="DEC37" s="299"/>
      <c r="DED37" s="299"/>
      <c r="DEE37" s="299"/>
      <c r="DEF37" s="299"/>
      <c r="DEG37" s="299"/>
      <c r="DEH37" s="299"/>
      <c r="DEI37" s="299"/>
      <c r="DEJ37" s="299"/>
      <c r="DEK37" s="299"/>
      <c r="DEL37" s="299"/>
      <c r="DEM37" s="299"/>
      <c r="DEN37" s="299"/>
      <c r="DEO37" s="299"/>
      <c r="DEP37" s="299"/>
      <c r="DEQ37" s="299"/>
      <c r="DER37" s="299"/>
      <c r="DES37" s="299"/>
      <c r="DET37" s="299"/>
      <c r="DEU37" s="299"/>
      <c r="DEV37" s="299"/>
      <c r="DEW37" s="299"/>
      <c r="DEX37" s="299"/>
      <c r="DEY37" s="299"/>
      <c r="DEZ37" s="299"/>
      <c r="DFA37" s="299"/>
      <c r="DFB37" s="299"/>
      <c r="DFC37" s="299"/>
      <c r="DFD37" s="299"/>
      <c r="DFE37" s="299"/>
      <c r="DFF37" s="299"/>
      <c r="DFG37" s="299"/>
      <c r="DFH37" s="299"/>
      <c r="DFI37" s="299"/>
      <c r="DFJ37" s="299"/>
      <c r="DFK37" s="299"/>
      <c r="DFL37" s="299"/>
      <c r="DFM37" s="299"/>
      <c r="DFN37" s="299"/>
      <c r="DFO37" s="299"/>
      <c r="DFP37" s="299"/>
      <c r="DFQ37" s="299"/>
      <c r="DFR37" s="299"/>
      <c r="DFS37" s="299"/>
      <c r="DFT37" s="299"/>
      <c r="DFU37" s="299"/>
      <c r="DFV37" s="299"/>
      <c r="DFW37" s="299"/>
      <c r="DFX37" s="299"/>
      <c r="DFY37" s="299"/>
      <c r="DFZ37" s="299"/>
      <c r="DGA37" s="299"/>
      <c r="DGB37" s="299"/>
      <c r="DGC37" s="299"/>
      <c r="DGD37" s="299"/>
      <c r="DGE37" s="299"/>
      <c r="DGF37" s="299"/>
      <c r="DGG37" s="299"/>
      <c r="DGH37" s="299"/>
      <c r="DGI37" s="299"/>
      <c r="DGJ37" s="299"/>
      <c r="DGK37" s="299"/>
      <c r="DGL37" s="299"/>
      <c r="DGM37" s="299"/>
      <c r="DGN37" s="299"/>
      <c r="DGO37" s="299"/>
      <c r="DGP37" s="299"/>
      <c r="DGQ37" s="299"/>
      <c r="DGR37" s="299"/>
      <c r="DGS37" s="299"/>
      <c r="DGT37" s="299"/>
      <c r="DGU37" s="299"/>
      <c r="DGV37" s="299"/>
      <c r="DGW37" s="299"/>
      <c r="DGX37" s="299"/>
      <c r="DGY37" s="299"/>
      <c r="DGZ37" s="299"/>
      <c r="DHA37" s="299"/>
      <c r="DHB37" s="299"/>
      <c r="DHC37" s="299"/>
      <c r="DHD37" s="299"/>
      <c r="DHE37" s="299"/>
      <c r="DHF37" s="299"/>
      <c r="DHG37" s="299"/>
      <c r="DHH37" s="299"/>
      <c r="DHI37" s="299"/>
      <c r="DHJ37" s="299"/>
      <c r="DHK37" s="299"/>
      <c r="DHL37" s="299"/>
      <c r="DHM37" s="299"/>
      <c r="DHN37" s="299"/>
      <c r="DHO37" s="299"/>
      <c r="DHP37" s="299"/>
      <c r="DHQ37" s="299"/>
      <c r="DHR37" s="299"/>
      <c r="DHS37" s="299"/>
      <c r="DHT37" s="299"/>
      <c r="DHU37" s="299"/>
      <c r="DHV37" s="299"/>
      <c r="DHW37" s="299"/>
      <c r="DHX37" s="299"/>
      <c r="DHY37" s="299"/>
      <c r="DHZ37" s="299"/>
      <c r="DIA37" s="299"/>
      <c r="DIB37" s="299"/>
      <c r="DIC37" s="299"/>
      <c r="DID37" s="299"/>
      <c r="DIE37" s="299"/>
      <c r="DIF37" s="299"/>
      <c r="DIG37" s="299"/>
      <c r="DIH37" s="299"/>
      <c r="DII37" s="299"/>
      <c r="DIJ37" s="299"/>
      <c r="DIK37" s="299"/>
      <c r="DIL37" s="299"/>
      <c r="DIM37" s="299"/>
      <c r="DIN37" s="299"/>
      <c r="DIO37" s="299"/>
      <c r="DIP37" s="299"/>
      <c r="DIQ37" s="299"/>
      <c r="DIR37" s="299"/>
      <c r="DIS37" s="299"/>
      <c r="DIT37" s="299"/>
      <c r="DIU37" s="299"/>
      <c r="DIV37" s="299"/>
      <c r="DIW37" s="299"/>
      <c r="DIX37" s="299"/>
      <c r="DIY37" s="299"/>
      <c r="DIZ37" s="299"/>
      <c r="DJA37" s="299"/>
      <c r="DJB37" s="299"/>
      <c r="DJC37" s="299"/>
      <c r="DJD37" s="299"/>
      <c r="DJE37" s="299"/>
      <c r="DJF37" s="299"/>
      <c r="DJG37" s="299"/>
      <c r="DJH37" s="299"/>
      <c r="DJI37" s="299"/>
      <c r="DJJ37" s="299"/>
      <c r="DJK37" s="299"/>
      <c r="DJL37" s="299"/>
      <c r="DJM37" s="299"/>
      <c r="DJN37" s="299"/>
      <c r="DJO37" s="299"/>
      <c r="DJP37" s="299"/>
      <c r="DJQ37" s="299"/>
      <c r="DJR37" s="299"/>
      <c r="DJS37" s="299"/>
      <c r="DJT37" s="299"/>
      <c r="DJU37" s="299"/>
      <c r="DJV37" s="299"/>
      <c r="DJW37" s="299"/>
      <c r="DJX37" s="299"/>
      <c r="DJY37" s="299"/>
      <c r="DJZ37" s="299"/>
      <c r="DKA37" s="299"/>
      <c r="DKB37" s="299"/>
      <c r="DKC37" s="299"/>
      <c r="DKD37" s="299"/>
      <c r="DKE37" s="299"/>
      <c r="DKF37" s="299"/>
      <c r="DKG37" s="299"/>
      <c r="DKH37" s="299"/>
      <c r="DKI37" s="299"/>
      <c r="DKJ37" s="299"/>
      <c r="DKK37" s="299"/>
      <c r="DKL37" s="299"/>
      <c r="DKM37" s="299"/>
      <c r="DKN37" s="299"/>
      <c r="DKO37" s="299"/>
      <c r="DKP37" s="299"/>
      <c r="DKQ37" s="299"/>
      <c r="DKR37" s="299"/>
      <c r="DKS37" s="299"/>
      <c r="DKT37" s="299"/>
      <c r="DKU37" s="299"/>
      <c r="DKV37" s="299"/>
      <c r="DKW37" s="299"/>
      <c r="DKX37" s="299"/>
      <c r="DKY37" s="299"/>
      <c r="DKZ37" s="299"/>
      <c r="DLA37" s="299"/>
      <c r="DLB37" s="299"/>
      <c r="DLC37" s="299"/>
      <c r="DLD37" s="299"/>
      <c r="DLE37" s="299"/>
      <c r="DLF37" s="299"/>
      <c r="DLG37" s="299"/>
      <c r="DLH37" s="299"/>
      <c r="DLI37" s="299"/>
      <c r="DLJ37" s="299"/>
      <c r="DLK37" s="299"/>
      <c r="DLL37" s="299"/>
      <c r="DLM37" s="299"/>
      <c r="DLN37" s="299"/>
      <c r="DLO37" s="299"/>
      <c r="DLP37" s="299"/>
      <c r="DLQ37" s="299"/>
      <c r="DLR37" s="299"/>
      <c r="DLS37" s="299"/>
      <c r="DLT37" s="299"/>
      <c r="DLU37" s="299"/>
      <c r="DLV37" s="299"/>
      <c r="DLW37" s="299"/>
      <c r="DLX37" s="299"/>
      <c r="DLY37" s="299"/>
      <c r="DLZ37" s="299"/>
      <c r="DMA37" s="299"/>
      <c r="DMB37" s="299"/>
      <c r="DMC37" s="299"/>
      <c r="DMD37" s="299"/>
      <c r="DME37" s="299"/>
      <c r="DMF37" s="299"/>
      <c r="DMG37" s="299"/>
      <c r="DMH37" s="299"/>
      <c r="DMI37" s="299"/>
      <c r="DMJ37" s="299"/>
      <c r="DMK37" s="299"/>
      <c r="DML37" s="299"/>
      <c r="DMM37" s="299"/>
      <c r="DMN37" s="299"/>
      <c r="DMO37" s="299"/>
      <c r="DMP37" s="299"/>
      <c r="DMQ37" s="299"/>
      <c r="DMR37" s="299"/>
      <c r="DMS37" s="299"/>
      <c r="DMT37" s="299"/>
      <c r="DMU37" s="299"/>
      <c r="DMV37" s="299"/>
      <c r="DMW37" s="299"/>
      <c r="DMX37" s="299"/>
      <c r="DMY37" s="299"/>
      <c r="DMZ37" s="299"/>
      <c r="DNA37" s="299"/>
      <c r="DNB37" s="299"/>
      <c r="DNC37" s="299"/>
      <c r="DND37" s="299"/>
      <c r="DNE37" s="299"/>
      <c r="DNF37" s="299"/>
      <c r="DNG37" s="299"/>
      <c r="DNH37" s="299"/>
      <c r="DNI37" s="299"/>
      <c r="DNJ37" s="299"/>
      <c r="DNK37" s="299"/>
      <c r="DNL37" s="299"/>
      <c r="DNM37" s="299"/>
      <c r="DNN37" s="299"/>
      <c r="DNO37" s="299"/>
      <c r="DNP37" s="299"/>
      <c r="DNQ37" s="299"/>
      <c r="DNR37" s="299"/>
      <c r="DNS37" s="299"/>
      <c r="DNT37" s="299"/>
      <c r="DNU37" s="299"/>
      <c r="DNV37" s="299"/>
      <c r="DNW37" s="299"/>
      <c r="DNX37" s="299"/>
      <c r="DNY37" s="299"/>
      <c r="DNZ37" s="299"/>
      <c r="DOA37" s="299"/>
      <c r="DOB37" s="299"/>
      <c r="DOC37" s="299"/>
      <c r="DOD37" s="299"/>
      <c r="DOE37" s="299"/>
      <c r="DOF37" s="299"/>
      <c r="DOG37" s="299"/>
      <c r="DOH37" s="299"/>
      <c r="DOI37" s="299"/>
      <c r="DOJ37" s="299"/>
      <c r="DOK37" s="299"/>
      <c r="DOL37" s="299"/>
      <c r="DOM37" s="299"/>
      <c r="DON37" s="299"/>
      <c r="DOO37" s="299"/>
      <c r="DOP37" s="299"/>
      <c r="DOQ37" s="299"/>
      <c r="DOR37" s="299"/>
      <c r="DOS37" s="299"/>
      <c r="DOT37" s="299"/>
      <c r="DOU37" s="299"/>
      <c r="DOV37" s="299"/>
      <c r="DOW37" s="299"/>
      <c r="DOX37" s="299"/>
      <c r="DOY37" s="299"/>
      <c r="DOZ37" s="299"/>
      <c r="DPA37" s="299"/>
      <c r="DPB37" s="299"/>
      <c r="DPC37" s="299"/>
      <c r="DPD37" s="299"/>
      <c r="DPE37" s="299"/>
      <c r="DPF37" s="299"/>
      <c r="DPG37" s="299"/>
      <c r="DPH37" s="299"/>
      <c r="DPI37" s="299"/>
      <c r="DPJ37" s="299"/>
      <c r="DPK37" s="299"/>
      <c r="DPL37" s="299"/>
      <c r="DPM37" s="299"/>
      <c r="DPN37" s="299"/>
      <c r="DPO37" s="299"/>
      <c r="DPP37" s="299"/>
      <c r="DPQ37" s="299"/>
      <c r="DPR37" s="299"/>
      <c r="DPS37" s="299"/>
      <c r="DPT37" s="299"/>
      <c r="DPU37" s="299"/>
      <c r="DPV37" s="299"/>
      <c r="DPW37" s="299"/>
      <c r="DPX37" s="299"/>
      <c r="DPY37" s="299"/>
      <c r="DPZ37" s="299"/>
      <c r="DQA37" s="299"/>
      <c r="DQB37" s="299"/>
      <c r="DQC37" s="299"/>
      <c r="DQD37" s="299"/>
      <c r="DQE37" s="299"/>
      <c r="DQF37" s="299"/>
      <c r="DQG37" s="299"/>
      <c r="DQH37" s="299"/>
      <c r="DQI37" s="299"/>
      <c r="DQJ37" s="299"/>
      <c r="DQK37" s="299"/>
      <c r="DQL37" s="299"/>
      <c r="DQM37" s="299"/>
      <c r="DQN37" s="299"/>
      <c r="DQO37" s="299"/>
      <c r="DQP37" s="299"/>
      <c r="DQQ37" s="299"/>
      <c r="DQR37" s="299"/>
      <c r="DQS37" s="299"/>
      <c r="DQT37" s="299"/>
      <c r="DQU37" s="299"/>
      <c r="DQV37" s="299"/>
      <c r="DQW37" s="299"/>
      <c r="DQX37" s="299"/>
      <c r="DQY37" s="299"/>
      <c r="DQZ37" s="299"/>
      <c r="DRA37" s="299"/>
      <c r="DRB37" s="299"/>
      <c r="DRC37" s="299"/>
      <c r="DRD37" s="299"/>
      <c r="DRE37" s="299"/>
      <c r="DRF37" s="299"/>
      <c r="DRG37" s="299"/>
      <c r="DRH37" s="299"/>
      <c r="DRI37" s="299"/>
      <c r="DRJ37" s="299"/>
      <c r="DRK37" s="299"/>
      <c r="DRL37" s="299"/>
      <c r="DRM37" s="299"/>
      <c r="DRN37" s="299"/>
      <c r="DRO37" s="299"/>
      <c r="DRP37" s="299"/>
      <c r="DRQ37" s="299"/>
      <c r="DRR37" s="299"/>
      <c r="DRS37" s="299"/>
      <c r="DRT37" s="299"/>
      <c r="DRU37" s="299"/>
      <c r="DRV37" s="299"/>
      <c r="DRW37" s="299"/>
      <c r="DRX37" s="299"/>
      <c r="DRY37" s="299"/>
      <c r="DRZ37" s="299"/>
      <c r="DSA37" s="299"/>
      <c r="DSB37" s="299"/>
      <c r="DSC37" s="299"/>
      <c r="DSD37" s="299"/>
      <c r="DSE37" s="299"/>
      <c r="DSF37" s="299"/>
      <c r="DSG37" s="299"/>
      <c r="DSH37" s="299"/>
      <c r="DSI37" s="299"/>
      <c r="DSJ37" s="299"/>
      <c r="DSK37" s="299"/>
      <c r="DSL37" s="299"/>
      <c r="DSM37" s="299"/>
      <c r="DSN37" s="299"/>
      <c r="DSO37" s="299"/>
      <c r="DSP37" s="299"/>
      <c r="DSQ37" s="299"/>
      <c r="DSR37" s="299"/>
      <c r="DSS37" s="299"/>
      <c r="DST37" s="299"/>
      <c r="DSU37" s="299"/>
      <c r="DSV37" s="299"/>
      <c r="DSW37" s="299"/>
      <c r="DSX37" s="299"/>
      <c r="DSY37" s="299"/>
      <c r="DSZ37" s="299"/>
      <c r="DTA37" s="299"/>
      <c r="DTB37" s="299"/>
      <c r="DTC37" s="299"/>
      <c r="DTD37" s="299"/>
      <c r="DTE37" s="299"/>
      <c r="DTF37" s="299"/>
      <c r="DTG37" s="299"/>
      <c r="DTH37" s="299"/>
      <c r="DTI37" s="299"/>
      <c r="DTJ37" s="299"/>
      <c r="DTK37" s="299"/>
      <c r="DTL37" s="299"/>
      <c r="DTM37" s="299"/>
      <c r="DTN37" s="299"/>
      <c r="DTO37" s="299"/>
      <c r="DTP37" s="299"/>
      <c r="DTQ37" s="299"/>
      <c r="DTR37" s="299"/>
      <c r="DTS37" s="299"/>
      <c r="DTT37" s="299"/>
      <c r="DTU37" s="299"/>
      <c r="DTV37" s="299"/>
      <c r="DTW37" s="299"/>
      <c r="DTX37" s="299"/>
      <c r="DTY37" s="299"/>
      <c r="DTZ37" s="299"/>
      <c r="DUA37" s="299"/>
      <c r="DUB37" s="299"/>
      <c r="DUC37" s="299"/>
      <c r="DUD37" s="299"/>
      <c r="DUE37" s="299"/>
      <c r="DUF37" s="299"/>
      <c r="DUG37" s="299"/>
      <c r="DUH37" s="299"/>
      <c r="DUI37" s="299"/>
      <c r="DUJ37" s="299"/>
      <c r="DUK37" s="299"/>
      <c r="DUL37" s="299"/>
      <c r="DUM37" s="299"/>
      <c r="DUN37" s="299"/>
      <c r="DUO37" s="299"/>
      <c r="DUP37" s="299"/>
      <c r="DUQ37" s="299"/>
      <c r="DUR37" s="299"/>
      <c r="DUS37" s="299"/>
      <c r="DUT37" s="299"/>
      <c r="DUU37" s="299"/>
      <c r="DUV37" s="299"/>
      <c r="DUW37" s="299"/>
      <c r="DUX37" s="299"/>
      <c r="DUY37" s="299"/>
      <c r="DUZ37" s="299"/>
      <c r="DVA37" s="299"/>
      <c r="DVB37" s="299"/>
      <c r="DVC37" s="299"/>
      <c r="DVD37" s="299"/>
      <c r="DVE37" s="299"/>
      <c r="DVF37" s="299"/>
      <c r="DVG37" s="299"/>
      <c r="DVH37" s="299"/>
      <c r="DVI37" s="299"/>
      <c r="DVJ37" s="299"/>
      <c r="DVK37" s="299"/>
      <c r="DVL37" s="299"/>
      <c r="DVM37" s="299"/>
      <c r="DVN37" s="299"/>
      <c r="DVO37" s="299"/>
      <c r="DVP37" s="299"/>
      <c r="DVQ37" s="299"/>
      <c r="DVR37" s="299"/>
      <c r="DVS37" s="299"/>
      <c r="DVT37" s="299"/>
      <c r="DVU37" s="299"/>
      <c r="DVV37" s="299"/>
      <c r="DVW37" s="299"/>
      <c r="DVX37" s="299"/>
      <c r="DVY37" s="299"/>
      <c r="DVZ37" s="299"/>
      <c r="DWA37" s="299"/>
      <c r="DWB37" s="299"/>
      <c r="DWC37" s="299"/>
      <c r="DWD37" s="299"/>
      <c r="DWE37" s="299"/>
      <c r="DWF37" s="299"/>
      <c r="DWG37" s="299"/>
      <c r="DWH37" s="299"/>
      <c r="DWI37" s="299"/>
      <c r="DWJ37" s="299"/>
      <c r="DWK37" s="299"/>
      <c r="DWL37" s="299"/>
      <c r="DWM37" s="299"/>
      <c r="DWN37" s="299"/>
      <c r="DWO37" s="299"/>
      <c r="DWP37" s="299"/>
      <c r="DWQ37" s="299"/>
      <c r="DWR37" s="299"/>
      <c r="DWS37" s="299"/>
      <c r="DWT37" s="299"/>
      <c r="DWU37" s="299"/>
      <c r="DWV37" s="299"/>
      <c r="DWW37" s="299"/>
      <c r="DWX37" s="299"/>
      <c r="DWY37" s="299"/>
      <c r="DWZ37" s="299"/>
      <c r="DXA37" s="299"/>
      <c r="DXB37" s="299"/>
      <c r="DXC37" s="299"/>
      <c r="DXD37" s="299"/>
      <c r="DXE37" s="299"/>
      <c r="DXF37" s="299"/>
      <c r="DXG37" s="299"/>
      <c r="DXH37" s="299"/>
      <c r="DXI37" s="299"/>
      <c r="DXJ37" s="299"/>
      <c r="DXK37" s="299"/>
      <c r="DXL37" s="299"/>
      <c r="DXM37" s="299"/>
      <c r="DXN37" s="299"/>
      <c r="DXO37" s="299"/>
      <c r="DXP37" s="299"/>
      <c r="DXQ37" s="299"/>
      <c r="DXR37" s="299"/>
      <c r="DXS37" s="299"/>
      <c r="DXT37" s="299"/>
      <c r="DXU37" s="299"/>
      <c r="DXV37" s="299"/>
      <c r="DXW37" s="299"/>
      <c r="DXX37" s="299"/>
      <c r="DXY37" s="299"/>
      <c r="DXZ37" s="299"/>
      <c r="DYA37" s="299"/>
      <c r="DYB37" s="299"/>
      <c r="DYC37" s="299"/>
      <c r="DYD37" s="299"/>
      <c r="DYE37" s="299"/>
      <c r="DYF37" s="299"/>
      <c r="DYG37" s="299"/>
      <c r="DYH37" s="299"/>
      <c r="DYI37" s="299"/>
      <c r="DYJ37" s="299"/>
      <c r="DYK37" s="299"/>
      <c r="DYL37" s="299"/>
      <c r="DYM37" s="299"/>
      <c r="DYN37" s="299"/>
      <c r="DYO37" s="299"/>
      <c r="DYP37" s="299"/>
      <c r="DYQ37" s="299"/>
      <c r="DYR37" s="299"/>
      <c r="DYS37" s="299"/>
      <c r="DYT37" s="299"/>
      <c r="DYU37" s="299"/>
      <c r="DYV37" s="299"/>
      <c r="DYW37" s="299"/>
      <c r="DYX37" s="299"/>
      <c r="DYY37" s="299"/>
      <c r="DYZ37" s="299"/>
      <c r="DZA37" s="299"/>
      <c r="DZB37" s="299"/>
      <c r="DZC37" s="299"/>
      <c r="DZD37" s="299"/>
      <c r="DZE37" s="299"/>
      <c r="DZF37" s="299"/>
      <c r="DZG37" s="299"/>
      <c r="DZH37" s="299"/>
      <c r="DZI37" s="299"/>
      <c r="DZJ37" s="299"/>
      <c r="DZK37" s="299"/>
      <c r="DZL37" s="299"/>
      <c r="DZM37" s="299"/>
      <c r="DZN37" s="299"/>
      <c r="DZO37" s="299"/>
      <c r="DZP37" s="299"/>
      <c r="DZQ37" s="299"/>
      <c r="DZR37" s="299"/>
      <c r="DZS37" s="299"/>
      <c r="DZT37" s="299"/>
      <c r="DZU37" s="299"/>
      <c r="DZV37" s="299"/>
      <c r="DZW37" s="299"/>
      <c r="DZX37" s="299"/>
      <c r="DZY37" s="299"/>
      <c r="DZZ37" s="299"/>
      <c r="EAA37" s="299"/>
      <c r="EAB37" s="299"/>
      <c r="EAC37" s="299"/>
      <c r="EAD37" s="299"/>
      <c r="EAE37" s="299"/>
      <c r="EAF37" s="299"/>
      <c r="EAG37" s="299"/>
      <c r="EAH37" s="299"/>
      <c r="EAI37" s="299"/>
      <c r="EAJ37" s="299"/>
      <c r="EAK37" s="299"/>
      <c r="EAL37" s="299"/>
      <c r="EAM37" s="299"/>
      <c r="EAN37" s="299"/>
      <c r="EAO37" s="299"/>
      <c r="EAP37" s="299"/>
      <c r="EAQ37" s="299"/>
      <c r="EAR37" s="299"/>
      <c r="EAS37" s="299"/>
      <c r="EAT37" s="299"/>
      <c r="EAU37" s="299"/>
      <c r="EAV37" s="299"/>
      <c r="EAW37" s="299"/>
      <c r="EAX37" s="299"/>
      <c r="EAY37" s="299"/>
      <c r="EAZ37" s="299"/>
      <c r="EBA37" s="299"/>
      <c r="EBB37" s="299"/>
      <c r="EBC37" s="299"/>
      <c r="EBD37" s="299"/>
      <c r="EBE37" s="299"/>
      <c r="EBF37" s="299"/>
      <c r="EBG37" s="299"/>
      <c r="EBH37" s="299"/>
      <c r="EBI37" s="299"/>
      <c r="EBJ37" s="299"/>
      <c r="EBK37" s="299"/>
      <c r="EBL37" s="299"/>
      <c r="EBM37" s="299"/>
      <c r="EBN37" s="299"/>
      <c r="EBO37" s="299"/>
      <c r="EBP37" s="299"/>
      <c r="EBQ37" s="299"/>
      <c r="EBR37" s="299"/>
      <c r="EBS37" s="299"/>
      <c r="EBT37" s="299"/>
      <c r="EBU37" s="299"/>
      <c r="EBV37" s="299"/>
      <c r="EBW37" s="299"/>
      <c r="EBX37" s="299"/>
      <c r="EBY37" s="299"/>
      <c r="EBZ37" s="299"/>
      <c r="ECA37" s="299"/>
      <c r="ECB37" s="299"/>
      <c r="ECC37" s="299"/>
      <c r="ECD37" s="299"/>
      <c r="ECE37" s="299"/>
      <c r="ECF37" s="299"/>
      <c r="ECG37" s="299"/>
      <c r="ECH37" s="299"/>
      <c r="ECI37" s="299"/>
      <c r="ECJ37" s="299"/>
      <c r="ECK37" s="299"/>
      <c r="ECL37" s="299"/>
      <c r="ECM37" s="299"/>
      <c r="ECN37" s="299"/>
      <c r="ECO37" s="299"/>
      <c r="ECP37" s="299"/>
      <c r="ECQ37" s="299"/>
      <c r="ECR37" s="299"/>
      <c r="ECS37" s="299"/>
      <c r="ECT37" s="299"/>
      <c r="ECU37" s="299"/>
      <c r="ECV37" s="299"/>
      <c r="ECW37" s="299"/>
      <c r="ECX37" s="299"/>
      <c r="ECY37" s="299"/>
      <c r="ECZ37" s="299"/>
      <c r="EDA37" s="299"/>
      <c r="EDB37" s="299"/>
      <c r="EDC37" s="299"/>
      <c r="EDD37" s="299"/>
      <c r="EDE37" s="299"/>
      <c r="EDF37" s="299"/>
      <c r="EDG37" s="299"/>
      <c r="EDH37" s="299"/>
      <c r="EDI37" s="299"/>
      <c r="EDJ37" s="299"/>
      <c r="EDK37" s="299"/>
      <c r="EDL37" s="299"/>
      <c r="EDM37" s="299"/>
      <c r="EDN37" s="299"/>
      <c r="EDO37" s="299"/>
      <c r="EDP37" s="299"/>
      <c r="EDQ37" s="299"/>
      <c r="EDR37" s="299"/>
      <c r="EDS37" s="299"/>
      <c r="EDT37" s="299"/>
      <c r="EDU37" s="299"/>
      <c r="EDV37" s="299"/>
      <c r="EDW37" s="299"/>
      <c r="EDX37" s="299"/>
      <c r="EDY37" s="299"/>
      <c r="EDZ37" s="299"/>
      <c r="EEA37" s="299"/>
      <c r="EEB37" s="299"/>
      <c r="EEC37" s="299"/>
      <c r="EED37" s="299"/>
      <c r="EEE37" s="299"/>
      <c r="EEF37" s="299"/>
      <c r="EEG37" s="299"/>
      <c r="EEH37" s="299"/>
      <c r="EEI37" s="299"/>
      <c r="EEJ37" s="299"/>
      <c r="EEK37" s="299"/>
      <c r="EEL37" s="299"/>
      <c r="EEM37" s="299"/>
      <c r="EEN37" s="299"/>
      <c r="EEO37" s="299"/>
      <c r="EEP37" s="299"/>
      <c r="EEQ37" s="299"/>
      <c r="EER37" s="299"/>
      <c r="EES37" s="299"/>
      <c r="EET37" s="299"/>
      <c r="EEU37" s="299"/>
      <c r="EEV37" s="299"/>
      <c r="EEW37" s="299"/>
      <c r="EEX37" s="299"/>
      <c r="EEY37" s="299"/>
      <c r="EEZ37" s="299"/>
      <c r="EFA37" s="299"/>
      <c r="EFB37" s="299"/>
      <c r="EFC37" s="299"/>
      <c r="EFD37" s="299"/>
      <c r="EFE37" s="299"/>
      <c r="EFF37" s="299"/>
      <c r="EFG37" s="299"/>
      <c r="EFH37" s="299"/>
      <c r="EFI37" s="299"/>
      <c r="EFJ37" s="299"/>
      <c r="EFK37" s="299"/>
      <c r="EFL37" s="299"/>
      <c r="EFM37" s="299"/>
      <c r="EFN37" s="299"/>
      <c r="EFO37" s="299"/>
      <c r="EFP37" s="299"/>
      <c r="EFQ37" s="299"/>
      <c r="EFR37" s="299"/>
      <c r="EFS37" s="299"/>
      <c r="EFT37" s="299"/>
      <c r="EFU37" s="299"/>
      <c r="EFV37" s="299"/>
      <c r="EFW37" s="299"/>
      <c r="EFX37" s="299"/>
      <c r="EFY37" s="299"/>
      <c r="EFZ37" s="299"/>
      <c r="EGA37" s="299"/>
      <c r="EGB37" s="299"/>
      <c r="EGC37" s="299"/>
      <c r="EGD37" s="299"/>
      <c r="EGE37" s="299"/>
      <c r="EGF37" s="299"/>
      <c r="EGG37" s="299"/>
      <c r="EGH37" s="299"/>
      <c r="EGI37" s="299"/>
      <c r="EGJ37" s="299"/>
      <c r="EGK37" s="299"/>
      <c r="EGL37" s="299"/>
      <c r="EGM37" s="299"/>
      <c r="EGN37" s="299"/>
      <c r="EGO37" s="299"/>
      <c r="EGP37" s="299"/>
      <c r="EGQ37" s="299"/>
      <c r="EGR37" s="299"/>
      <c r="EGS37" s="299"/>
      <c r="EGT37" s="299"/>
      <c r="EGU37" s="299"/>
      <c r="EGV37" s="299"/>
      <c r="EGW37" s="299"/>
      <c r="EGX37" s="299"/>
      <c r="EGY37" s="299"/>
      <c r="EGZ37" s="299"/>
      <c r="EHA37" s="299"/>
      <c r="EHB37" s="299"/>
      <c r="EHC37" s="299"/>
      <c r="EHD37" s="299"/>
      <c r="EHE37" s="299"/>
      <c r="EHF37" s="299"/>
      <c r="EHG37" s="299"/>
      <c r="EHH37" s="299"/>
      <c r="EHI37" s="299"/>
      <c r="EHJ37" s="299"/>
      <c r="EHK37" s="299"/>
      <c r="EHL37" s="299"/>
      <c r="EHM37" s="299"/>
      <c r="EHN37" s="299"/>
      <c r="EHO37" s="299"/>
      <c r="EHP37" s="299"/>
      <c r="EHQ37" s="299"/>
      <c r="EHR37" s="299"/>
      <c r="EHS37" s="299"/>
      <c r="EHT37" s="299"/>
      <c r="EHU37" s="299"/>
      <c r="EHV37" s="299"/>
      <c r="EHW37" s="299"/>
      <c r="EHX37" s="299"/>
      <c r="EHY37" s="299"/>
      <c r="EHZ37" s="299"/>
      <c r="EIA37" s="299"/>
      <c r="EIB37" s="299"/>
      <c r="EIC37" s="299"/>
      <c r="EID37" s="299"/>
      <c r="EIE37" s="299"/>
      <c r="EIF37" s="299"/>
      <c r="EIG37" s="299"/>
      <c r="EIH37" s="299"/>
      <c r="EII37" s="299"/>
      <c r="EIJ37" s="299"/>
      <c r="EIK37" s="299"/>
      <c r="EIL37" s="299"/>
      <c r="EIM37" s="299"/>
      <c r="EIN37" s="299"/>
      <c r="EIO37" s="299"/>
      <c r="EIP37" s="299"/>
      <c r="EIQ37" s="299"/>
      <c r="EIR37" s="299"/>
      <c r="EIS37" s="299"/>
      <c r="EIT37" s="299"/>
      <c r="EIU37" s="299"/>
      <c r="EIV37" s="299"/>
      <c r="EIW37" s="299"/>
      <c r="EIX37" s="299"/>
      <c r="EIY37" s="299"/>
      <c r="EIZ37" s="299"/>
      <c r="EJA37" s="299"/>
      <c r="EJB37" s="299"/>
      <c r="EJC37" s="299"/>
      <c r="EJD37" s="299"/>
      <c r="EJE37" s="299"/>
      <c r="EJF37" s="299"/>
      <c r="EJG37" s="299"/>
      <c r="EJH37" s="299"/>
      <c r="EJI37" s="299"/>
      <c r="EJJ37" s="299"/>
      <c r="EJK37" s="299"/>
      <c r="EJL37" s="299"/>
      <c r="EJM37" s="299"/>
      <c r="EJN37" s="299"/>
      <c r="EJO37" s="299"/>
      <c r="EJP37" s="299"/>
      <c r="EJQ37" s="299"/>
      <c r="EJR37" s="299"/>
      <c r="EJS37" s="299"/>
      <c r="EJT37" s="299"/>
      <c r="EJU37" s="299"/>
      <c r="EJV37" s="299"/>
      <c r="EJW37" s="299"/>
      <c r="EJX37" s="299"/>
      <c r="EJY37" s="299"/>
      <c r="EJZ37" s="299"/>
      <c r="EKA37" s="299"/>
      <c r="EKB37" s="299"/>
      <c r="EKC37" s="299"/>
      <c r="EKD37" s="299"/>
      <c r="EKE37" s="299"/>
      <c r="EKF37" s="299"/>
      <c r="EKG37" s="299"/>
      <c r="EKH37" s="299"/>
      <c r="EKI37" s="299"/>
      <c r="EKJ37" s="299"/>
      <c r="EKK37" s="299"/>
      <c r="EKL37" s="299"/>
      <c r="EKM37" s="299"/>
      <c r="EKN37" s="299"/>
      <c r="EKO37" s="299"/>
      <c r="EKP37" s="299"/>
      <c r="EKQ37" s="299"/>
      <c r="EKR37" s="299"/>
      <c r="EKS37" s="299"/>
      <c r="EKT37" s="299"/>
      <c r="EKU37" s="299"/>
      <c r="EKV37" s="299"/>
      <c r="EKW37" s="299"/>
      <c r="EKX37" s="299"/>
      <c r="EKY37" s="299"/>
      <c r="EKZ37" s="299"/>
      <c r="ELA37" s="299"/>
      <c r="ELB37" s="299"/>
      <c r="ELC37" s="299"/>
      <c r="ELD37" s="299"/>
      <c r="ELE37" s="299"/>
      <c r="ELF37" s="299"/>
      <c r="ELG37" s="299"/>
      <c r="ELH37" s="299"/>
      <c r="ELI37" s="299"/>
      <c r="ELJ37" s="299"/>
      <c r="ELK37" s="299"/>
      <c r="ELL37" s="299"/>
      <c r="ELM37" s="299"/>
      <c r="ELN37" s="299"/>
      <c r="ELO37" s="299"/>
      <c r="ELP37" s="299"/>
      <c r="ELQ37" s="299"/>
      <c r="ELR37" s="299"/>
      <c r="ELS37" s="299"/>
      <c r="ELT37" s="299"/>
      <c r="ELU37" s="299"/>
      <c r="ELV37" s="299"/>
      <c r="ELW37" s="299"/>
      <c r="ELX37" s="299"/>
      <c r="ELY37" s="299"/>
      <c r="ELZ37" s="299"/>
      <c r="EMA37" s="299"/>
      <c r="EMB37" s="299"/>
      <c r="EMC37" s="299"/>
      <c r="EMD37" s="299"/>
      <c r="EME37" s="299"/>
      <c r="EMF37" s="299"/>
      <c r="EMG37" s="299"/>
      <c r="EMH37" s="299"/>
      <c r="EMI37" s="299"/>
      <c r="EMJ37" s="299"/>
      <c r="EMK37" s="299"/>
      <c r="EML37" s="299"/>
      <c r="EMM37" s="299"/>
      <c r="EMN37" s="299"/>
      <c r="EMO37" s="299"/>
      <c r="EMP37" s="299"/>
      <c r="EMQ37" s="299"/>
      <c r="EMR37" s="299"/>
      <c r="EMS37" s="299"/>
      <c r="EMT37" s="299"/>
      <c r="EMU37" s="299"/>
      <c r="EMV37" s="299"/>
      <c r="EMW37" s="299"/>
      <c r="EMX37" s="299"/>
      <c r="EMY37" s="299"/>
      <c r="EMZ37" s="299"/>
      <c r="ENA37" s="299"/>
      <c r="ENB37" s="299"/>
      <c r="ENC37" s="299"/>
      <c r="END37" s="299"/>
      <c r="ENE37" s="299"/>
      <c r="ENF37" s="299"/>
      <c r="ENG37" s="299"/>
      <c r="ENH37" s="299"/>
      <c r="ENI37" s="299"/>
      <c r="ENJ37" s="299"/>
      <c r="ENK37" s="299"/>
      <c r="ENL37" s="299"/>
      <c r="ENM37" s="299"/>
      <c r="ENN37" s="299"/>
      <c r="ENO37" s="299"/>
      <c r="ENP37" s="299"/>
      <c r="ENQ37" s="299"/>
      <c r="ENR37" s="299"/>
      <c r="ENS37" s="299"/>
      <c r="ENT37" s="299"/>
      <c r="ENU37" s="299"/>
      <c r="ENV37" s="299"/>
      <c r="ENW37" s="299"/>
      <c r="ENX37" s="299"/>
      <c r="ENY37" s="299"/>
      <c r="ENZ37" s="299"/>
      <c r="EOA37" s="299"/>
      <c r="EOB37" s="299"/>
      <c r="EOC37" s="299"/>
      <c r="EOD37" s="299"/>
      <c r="EOE37" s="299"/>
      <c r="EOF37" s="299"/>
      <c r="EOG37" s="299"/>
      <c r="EOH37" s="299"/>
      <c r="EOI37" s="299"/>
      <c r="EOJ37" s="299"/>
      <c r="EOK37" s="299"/>
      <c r="EOL37" s="299"/>
      <c r="EOM37" s="299"/>
      <c r="EON37" s="299"/>
      <c r="EOO37" s="299"/>
      <c r="EOP37" s="299"/>
      <c r="EOQ37" s="299"/>
      <c r="EOR37" s="299"/>
      <c r="EOS37" s="299"/>
      <c r="EOT37" s="299"/>
      <c r="EOU37" s="299"/>
      <c r="EOV37" s="299"/>
      <c r="EOW37" s="299"/>
      <c r="EOX37" s="299"/>
      <c r="EOY37" s="299"/>
      <c r="EOZ37" s="299"/>
      <c r="EPA37" s="299"/>
      <c r="EPB37" s="299"/>
      <c r="EPC37" s="299"/>
      <c r="EPD37" s="299"/>
      <c r="EPE37" s="299"/>
      <c r="EPF37" s="299"/>
      <c r="EPG37" s="299"/>
      <c r="EPH37" s="299"/>
      <c r="EPI37" s="299"/>
      <c r="EPJ37" s="299"/>
      <c r="EPK37" s="299"/>
      <c r="EPL37" s="299"/>
      <c r="EPM37" s="299"/>
      <c r="EPN37" s="299"/>
      <c r="EPO37" s="299"/>
      <c r="EPP37" s="299"/>
      <c r="EPQ37" s="299"/>
      <c r="EPR37" s="299"/>
      <c r="EPS37" s="299"/>
      <c r="EPT37" s="299"/>
      <c r="EPU37" s="299"/>
      <c r="EPV37" s="299"/>
      <c r="EPW37" s="299"/>
      <c r="EPX37" s="299"/>
      <c r="EPY37" s="299"/>
      <c r="EPZ37" s="299"/>
      <c r="EQA37" s="299"/>
      <c r="EQB37" s="299"/>
      <c r="EQC37" s="299"/>
      <c r="EQD37" s="299"/>
      <c r="EQE37" s="299"/>
      <c r="EQF37" s="299"/>
      <c r="EQG37" s="299"/>
      <c r="EQH37" s="299"/>
      <c r="EQI37" s="299"/>
      <c r="EQJ37" s="299"/>
      <c r="EQK37" s="299"/>
      <c r="EQL37" s="299"/>
      <c r="EQM37" s="299"/>
      <c r="EQN37" s="299"/>
      <c r="EQO37" s="299"/>
      <c r="EQP37" s="299"/>
      <c r="EQQ37" s="299"/>
      <c r="EQR37" s="299"/>
      <c r="EQS37" s="299"/>
      <c r="EQT37" s="299"/>
      <c r="EQU37" s="299"/>
      <c r="EQV37" s="299"/>
      <c r="EQW37" s="299"/>
      <c r="EQX37" s="299"/>
      <c r="EQY37" s="299"/>
      <c r="EQZ37" s="299"/>
      <c r="ERA37" s="299"/>
      <c r="ERB37" s="299"/>
      <c r="ERC37" s="299"/>
      <c r="ERD37" s="299"/>
      <c r="ERE37" s="299"/>
      <c r="ERF37" s="299"/>
      <c r="ERG37" s="299"/>
      <c r="ERH37" s="299"/>
      <c r="ERI37" s="299"/>
      <c r="ERJ37" s="299"/>
      <c r="ERK37" s="299"/>
      <c r="ERL37" s="299"/>
      <c r="ERM37" s="299"/>
      <c r="ERN37" s="299"/>
      <c r="ERO37" s="299"/>
      <c r="ERP37" s="299"/>
      <c r="ERQ37" s="299"/>
      <c r="ERR37" s="299"/>
      <c r="ERS37" s="299"/>
      <c r="ERT37" s="299"/>
      <c r="ERU37" s="299"/>
      <c r="ERV37" s="299"/>
      <c r="ERW37" s="299"/>
      <c r="ERX37" s="299"/>
      <c r="ERY37" s="299"/>
      <c r="ERZ37" s="299"/>
      <c r="ESA37" s="299"/>
      <c r="ESB37" s="299"/>
      <c r="ESC37" s="299"/>
      <c r="ESD37" s="299"/>
      <c r="ESE37" s="299"/>
      <c r="ESF37" s="299"/>
      <c r="ESG37" s="299"/>
      <c r="ESH37" s="299"/>
      <c r="ESI37" s="299"/>
      <c r="ESJ37" s="299"/>
      <c r="ESK37" s="299"/>
      <c r="ESL37" s="299"/>
      <c r="ESM37" s="299"/>
      <c r="ESN37" s="299"/>
      <c r="ESO37" s="299"/>
      <c r="ESP37" s="299"/>
      <c r="ESQ37" s="299"/>
      <c r="ESR37" s="299"/>
      <c r="ESS37" s="299"/>
      <c r="EST37" s="299"/>
      <c r="ESU37" s="299"/>
      <c r="ESV37" s="299"/>
      <c r="ESW37" s="299"/>
      <c r="ESX37" s="299"/>
      <c r="ESY37" s="299"/>
      <c r="ESZ37" s="299"/>
      <c r="ETA37" s="299"/>
      <c r="ETB37" s="299"/>
      <c r="ETC37" s="299"/>
      <c r="ETD37" s="299"/>
      <c r="ETE37" s="299"/>
      <c r="ETF37" s="299"/>
      <c r="ETG37" s="299"/>
      <c r="ETH37" s="299"/>
      <c r="ETI37" s="299"/>
      <c r="ETJ37" s="299"/>
      <c r="ETK37" s="299"/>
      <c r="ETL37" s="299"/>
      <c r="ETM37" s="299"/>
      <c r="ETN37" s="299"/>
      <c r="ETO37" s="299"/>
      <c r="ETP37" s="299"/>
      <c r="ETQ37" s="299"/>
      <c r="ETR37" s="299"/>
      <c r="ETS37" s="299"/>
      <c r="ETT37" s="299"/>
      <c r="ETU37" s="299"/>
      <c r="ETV37" s="299"/>
      <c r="ETW37" s="299"/>
      <c r="ETX37" s="299"/>
      <c r="ETY37" s="299"/>
      <c r="ETZ37" s="299"/>
      <c r="EUA37" s="299"/>
      <c r="EUB37" s="299"/>
      <c r="EUC37" s="299"/>
      <c r="EUD37" s="299"/>
      <c r="EUE37" s="299"/>
      <c r="EUF37" s="299"/>
      <c r="EUG37" s="299"/>
      <c r="EUH37" s="299"/>
      <c r="EUI37" s="299"/>
      <c r="EUJ37" s="299"/>
      <c r="EUK37" s="299"/>
      <c r="EUL37" s="299"/>
      <c r="EUM37" s="299"/>
      <c r="EUN37" s="299"/>
      <c r="EUO37" s="299"/>
      <c r="EUP37" s="299"/>
      <c r="EUQ37" s="299"/>
      <c r="EUR37" s="299"/>
      <c r="EUS37" s="299"/>
      <c r="EUT37" s="299"/>
      <c r="EUU37" s="299"/>
      <c r="EUV37" s="299"/>
      <c r="EUW37" s="299"/>
      <c r="EUX37" s="299"/>
      <c r="EUY37" s="299"/>
      <c r="EUZ37" s="299"/>
      <c r="EVA37" s="299"/>
      <c r="EVB37" s="299"/>
      <c r="EVC37" s="299"/>
      <c r="EVD37" s="299"/>
      <c r="EVE37" s="299"/>
      <c r="EVF37" s="299"/>
      <c r="EVG37" s="299"/>
      <c r="EVH37" s="299"/>
      <c r="EVI37" s="299"/>
      <c r="EVJ37" s="299"/>
      <c r="EVK37" s="299"/>
      <c r="EVL37" s="299"/>
      <c r="EVM37" s="299"/>
      <c r="EVN37" s="299"/>
      <c r="EVO37" s="299"/>
      <c r="EVP37" s="299"/>
      <c r="EVQ37" s="299"/>
      <c r="EVR37" s="299"/>
      <c r="EVS37" s="299"/>
      <c r="EVT37" s="299"/>
      <c r="EVU37" s="299"/>
      <c r="EVV37" s="299"/>
      <c r="EVW37" s="299"/>
      <c r="EVX37" s="299"/>
      <c r="EVY37" s="299"/>
      <c r="EVZ37" s="299"/>
      <c r="EWA37" s="299"/>
      <c r="EWB37" s="299"/>
      <c r="EWC37" s="299"/>
      <c r="EWD37" s="299"/>
      <c r="EWE37" s="299"/>
      <c r="EWF37" s="299"/>
      <c r="EWG37" s="299"/>
      <c r="EWH37" s="299"/>
      <c r="EWI37" s="299"/>
      <c r="EWJ37" s="299"/>
      <c r="EWK37" s="299"/>
      <c r="EWL37" s="299"/>
      <c r="EWM37" s="299"/>
      <c r="EWN37" s="299"/>
      <c r="EWO37" s="299"/>
      <c r="EWP37" s="299"/>
      <c r="EWQ37" s="299"/>
      <c r="EWR37" s="299"/>
      <c r="EWS37" s="299"/>
      <c r="EWT37" s="299"/>
      <c r="EWU37" s="299"/>
      <c r="EWV37" s="299"/>
      <c r="EWW37" s="299"/>
      <c r="EWX37" s="299"/>
      <c r="EWY37" s="299"/>
      <c r="EWZ37" s="299"/>
      <c r="EXA37" s="299"/>
      <c r="EXB37" s="299"/>
      <c r="EXC37" s="299"/>
      <c r="EXD37" s="299"/>
      <c r="EXE37" s="299"/>
      <c r="EXF37" s="299"/>
      <c r="EXG37" s="299"/>
      <c r="EXH37" s="299"/>
      <c r="EXI37" s="299"/>
      <c r="EXJ37" s="299"/>
      <c r="EXK37" s="299"/>
      <c r="EXL37" s="299"/>
      <c r="EXM37" s="299"/>
      <c r="EXN37" s="299"/>
      <c r="EXO37" s="299"/>
      <c r="EXP37" s="299"/>
      <c r="EXQ37" s="299"/>
      <c r="EXR37" s="299"/>
      <c r="EXS37" s="299"/>
      <c r="EXT37" s="299"/>
      <c r="EXU37" s="299"/>
      <c r="EXV37" s="299"/>
      <c r="EXW37" s="299"/>
      <c r="EXX37" s="299"/>
      <c r="EXY37" s="299"/>
      <c r="EXZ37" s="299"/>
      <c r="EYA37" s="299"/>
      <c r="EYB37" s="299"/>
      <c r="EYC37" s="299"/>
      <c r="EYD37" s="299"/>
      <c r="EYE37" s="299"/>
      <c r="EYF37" s="299"/>
      <c r="EYG37" s="299"/>
      <c r="EYH37" s="299"/>
      <c r="EYI37" s="299"/>
      <c r="EYJ37" s="299"/>
      <c r="EYK37" s="299"/>
      <c r="EYL37" s="299"/>
      <c r="EYM37" s="299"/>
      <c r="EYN37" s="299"/>
      <c r="EYO37" s="299"/>
      <c r="EYP37" s="299"/>
      <c r="EYQ37" s="299"/>
      <c r="EYR37" s="299"/>
      <c r="EYS37" s="299"/>
      <c r="EYT37" s="299"/>
      <c r="EYU37" s="299"/>
      <c r="EYV37" s="299"/>
      <c r="EYW37" s="299"/>
      <c r="EYX37" s="299"/>
      <c r="EYY37" s="299"/>
      <c r="EYZ37" s="299"/>
      <c r="EZA37" s="299"/>
      <c r="EZB37" s="299"/>
      <c r="EZC37" s="299"/>
      <c r="EZD37" s="299"/>
      <c r="EZE37" s="299"/>
      <c r="EZF37" s="299"/>
      <c r="EZG37" s="299"/>
      <c r="EZH37" s="299"/>
      <c r="EZI37" s="299"/>
      <c r="EZJ37" s="299"/>
      <c r="EZK37" s="299"/>
      <c r="EZL37" s="299"/>
      <c r="EZM37" s="299"/>
      <c r="EZN37" s="299"/>
      <c r="EZO37" s="299"/>
      <c r="EZP37" s="299"/>
      <c r="EZQ37" s="299"/>
      <c r="EZR37" s="299"/>
      <c r="EZS37" s="299"/>
      <c r="EZT37" s="299"/>
      <c r="EZU37" s="299"/>
      <c r="EZV37" s="299"/>
      <c r="EZW37" s="299"/>
      <c r="EZX37" s="299"/>
      <c r="EZY37" s="299"/>
      <c r="EZZ37" s="299"/>
      <c r="FAA37" s="299"/>
      <c r="FAB37" s="299"/>
      <c r="FAC37" s="299"/>
      <c r="FAD37" s="299"/>
      <c r="FAE37" s="299"/>
      <c r="FAF37" s="299"/>
      <c r="FAG37" s="299"/>
      <c r="FAH37" s="299"/>
      <c r="FAI37" s="299"/>
      <c r="FAJ37" s="299"/>
      <c r="FAK37" s="299"/>
      <c r="FAL37" s="299"/>
      <c r="FAM37" s="299"/>
      <c r="FAN37" s="299"/>
      <c r="FAO37" s="299"/>
      <c r="FAP37" s="299"/>
      <c r="FAQ37" s="299"/>
      <c r="FAR37" s="299"/>
      <c r="FAS37" s="299"/>
      <c r="FAT37" s="299"/>
      <c r="FAU37" s="299"/>
      <c r="FAV37" s="299"/>
      <c r="FAW37" s="299"/>
      <c r="FAX37" s="299"/>
      <c r="FAY37" s="299"/>
      <c r="FAZ37" s="299"/>
      <c r="FBA37" s="299"/>
      <c r="FBB37" s="299"/>
      <c r="FBC37" s="299"/>
      <c r="FBD37" s="299"/>
      <c r="FBE37" s="299"/>
      <c r="FBF37" s="299"/>
      <c r="FBG37" s="299"/>
      <c r="FBH37" s="299"/>
      <c r="FBI37" s="299"/>
      <c r="FBJ37" s="299"/>
      <c r="FBK37" s="299"/>
      <c r="FBL37" s="299"/>
      <c r="FBM37" s="299"/>
      <c r="FBN37" s="299"/>
      <c r="FBO37" s="299"/>
      <c r="FBP37" s="299"/>
      <c r="FBQ37" s="299"/>
      <c r="FBR37" s="299"/>
      <c r="FBS37" s="299"/>
      <c r="FBT37" s="299"/>
      <c r="FBU37" s="299"/>
      <c r="FBV37" s="299"/>
      <c r="FBW37" s="299"/>
      <c r="FBX37" s="299"/>
      <c r="FBY37" s="299"/>
      <c r="FBZ37" s="299"/>
      <c r="FCA37" s="299"/>
      <c r="FCB37" s="299"/>
      <c r="FCC37" s="299"/>
      <c r="FCD37" s="299"/>
      <c r="FCE37" s="299"/>
      <c r="FCF37" s="299"/>
      <c r="FCG37" s="299"/>
      <c r="FCH37" s="299"/>
      <c r="FCI37" s="299"/>
      <c r="FCJ37" s="299"/>
      <c r="FCK37" s="299"/>
      <c r="FCL37" s="299"/>
      <c r="FCM37" s="299"/>
      <c r="FCN37" s="299"/>
      <c r="FCO37" s="299"/>
      <c r="FCP37" s="299"/>
      <c r="FCQ37" s="299"/>
      <c r="FCR37" s="299"/>
      <c r="FCS37" s="299"/>
      <c r="FCT37" s="299"/>
      <c r="FCU37" s="299"/>
      <c r="FCV37" s="299"/>
      <c r="FCW37" s="299"/>
      <c r="FCX37" s="299"/>
      <c r="FCY37" s="299"/>
      <c r="FCZ37" s="299"/>
      <c r="FDA37" s="299"/>
      <c r="FDB37" s="299"/>
      <c r="FDC37" s="299"/>
      <c r="FDD37" s="299"/>
      <c r="FDE37" s="299"/>
      <c r="FDF37" s="299"/>
      <c r="FDG37" s="299"/>
      <c r="FDH37" s="299"/>
      <c r="FDI37" s="299"/>
      <c r="FDJ37" s="299"/>
      <c r="FDK37" s="299"/>
      <c r="FDL37" s="299"/>
      <c r="FDM37" s="299"/>
      <c r="FDN37" s="299"/>
      <c r="FDO37" s="299"/>
      <c r="FDP37" s="299"/>
      <c r="FDQ37" s="299"/>
      <c r="FDR37" s="299"/>
      <c r="FDS37" s="299"/>
      <c r="FDT37" s="299"/>
      <c r="FDU37" s="299"/>
      <c r="FDV37" s="299"/>
      <c r="FDW37" s="299"/>
      <c r="FDX37" s="299"/>
      <c r="FDY37" s="299"/>
      <c r="FDZ37" s="299"/>
      <c r="FEA37" s="299"/>
      <c r="FEB37" s="299"/>
      <c r="FEC37" s="299"/>
      <c r="FED37" s="299"/>
      <c r="FEE37" s="299"/>
      <c r="FEF37" s="299"/>
      <c r="FEG37" s="299"/>
      <c r="FEH37" s="299"/>
      <c r="FEI37" s="299"/>
      <c r="FEJ37" s="299"/>
      <c r="FEK37" s="299"/>
      <c r="FEL37" s="299"/>
      <c r="FEM37" s="299"/>
      <c r="FEN37" s="299"/>
      <c r="FEO37" s="299"/>
      <c r="FEP37" s="299"/>
      <c r="FEQ37" s="299"/>
      <c r="FER37" s="299"/>
      <c r="FES37" s="299"/>
      <c r="FET37" s="299"/>
      <c r="FEU37" s="299"/>
      <c r="FEV37" s="299"/>
      <c r="FEW37" s="299"/>
      <c r="FEX37" s="299"/>
      <c r="FEY37" s="299"/>
      <c r="FEZ37" s="299"/>
      <c r="FFA37" s="299"/>
      <c r="FFB37" s="299"/>
      <c r="FFC37" s="299"/>
      <c r="FFD37" s="299"/>
      <c r="FFE37" s="299"/>
      <c r="FFF37" s="299"/>
      <c r="FFG37" s="299"/>
      <c r="FFH37" s="299"/>
      <c r="FFI37" s="299"/>
      <c r="FFJ37" s="299"/>
      <c r="FFK37" s="299"/>
      <c r="FFL37" s="299"/>
      <c r="FFM37" s="299"/>
      <c r="FFN37" s="299"/>
      <c r="FFO37" s="299"/>
      <c r="FFP37" s="299"/>
      <c r="FFQ37" s="299"/>
      <c r="FFR37" s="299"/>
      <c r="FFS37" s="299"/>
      <c r="FFT37" s="299"/>
      <c r="FFU37" s="299"/>
      <c r="FFV37" s="299"/>
      <c r="FFW37" s="299"/>
      <c r="FFX37" s="299"/>
      <c r="FFY37" s="299"/>
      <c r="FFZ37" s="299"/>
      <c r="FGA37" s="299"/>
      <c r="FGB37" s="299"/>
      <c r="FGC37" s="299"/>
      <c r="FGD37" s="299"/>
      <c r="FGE37" s="299"/>
      <c r="FGF37" s="299"/>
      <c r="FGG37" s="299"/>
      <c r="FGH37" s="299"/>
      <c r="FGI37" s="299"/>
      <c r="FGJ37" s="299"/>
      <c r="FGK37" s="299"/>
      <c r="FGL37" s="299"/>
      <c r="FGM37" s="299"/>
      <c r="FGN37" s="299"/>
      <c r="FGO37" s="299"/>
      <c r="FGP37" s="299"/>
      <c r="FGQ37" s="299"/>
      <c r="FGR37" s="299"/>
      <c r="FGS37" s="299"/>
      <c r="FGT37" s="299"/>
      <c r="FGU37" s="299"/>
      <c r="FGV37" s="299"/>
      <c r="FGW37" s="299"/>
      <c r="FGX37" s="299"/>
      <c r="FGY37" s="299"/>
      <c r="FGZ37" s="299"/>
      <c r="FHA37" s="299"/>
      <c r="FHB37" s="299"/>
      <c r="FHC37" s="299"/>
      <c r="FHD37" s="299"/>
      <c r="FHE37" s="299"/>
      <c r="FHF37" s="299"/>
      <c r="FHG37" s="299"/>
      <c r="FHH37" s="299"/>
      <c r="FHI37" s="299"/>
      <c r="FHJ37" s="299"/>
      <c r="FHK37" s="299"/>
      <c r="FHL37" s="299"/>
      <c r="FHM37" s="299"/>
      <c r="FHN37" s="299"/>
      <c r="FHO37" s="299"/>
      <c r="FHP37" s="299"/>
      <c r="FHQ37" s="299"/>
      <c r="FHR37" s="299"/>
      <c r="FHS37" s="299"/>
      <c r="FHT37" s="299"/>
      <c r="FHU37" s="299"/>
      <c r="FHV37" s="299"/>
      <c r="FHW37" s="299"/>
      <c r="FHX37" s="299"/>
      <c r="FHY37" s="299"/>
      <c r="FHZ37" s="299"/>
      <c r="FIA37" s="299"/>
      <c r="FIB37" s="299"/>
      <c r="FIC37" s="299"/>
      <c r="FID37" s="299"/>
      <c r="FIE37" s="299"/>
      <c r="FIF37" s="299"/>
      <c r="FIG37" s="299"/>
      <c r="FIH37" s="299"/>
      <c r="FII37" s="299"/>
      <c r="FIJ37" s="299"/>
      <c r="FIK37" s="299"/>
      <c r="FIL37" s="299"/>
      <c r="FIM37" s="299"/>
      <c r="FIN37" s="299"/>
      <c r="FIO37" s="299"/>
      <c r="FIP37" s="299"/>
      <c r="FIQ37" s="299"/>
      <c r="FIR37" s="299"/>
      <c r="FIS37" s="299"/>
      <c r="FIT37" s="299"/>
      <c r="FIU37" s="299"/>
      <c r="FIV37" s="299"/>
      <c r="FIW37" s="299"/>
      <c r="FIX37" s="299"/>
      <c r="FIY37" s="299"/>
      <c r="FIZ37" s="299"/>
      <c r="FJA37" s="299"/>
      <c r="FJB37" s="299"/>
      <c r="FJC37" s="299"/>
      <c r="FJD37" s="299"/>
      <c r="FJE37" s="299"/>
      <c r="FJF37" s="299"/>
      <c r="FJG37" s="299"/>
      <c r="FJH37" s="299"/>
      <c r="FJI37" s="299"/>
      <c r="FJJ37" s="299"/>
      <c r="FJK37" s="299"/>
      <c r="FJL37" s="299"/>
      <c r="FJM37" s="299"/>
      <c r="FJN37" s="299"/>
      <c r="FJO37" s="299"/>
      <c r="FJP37" s="299"/>
      <c r="FJQ37" s="299"/>
      <c r="FJR37" s="299"/>
      <c r="FJS37" s="299"/>
      <c r="FJT37" s="299"/>
      <c r="FJU37" s="299"/>
      <c r="FJV37" s="299"/>
      <c r="FJW37" s="299"/>
      <c r="FJX37" s="299"/>
      <c r="FJY37" s="299"/>
      <c r="FJZ37" s="299"/>
      <c r="FKA37" s="299"/>
      <c r="FKB37" s="299"/>
      <c r="FKC37" s="299"/>
      <c r="FKD37" s="299"/>
      <c r="FKE37" s="299"/>
      <c r="FKF37" s="299"/>
      <c r="FKG37" s="299"/>
      <c r="FKH37" s="299"/>
      <c r="FKI37" s="299"/>
      <c r="FKJ37" s="299"/>
      <c r="FKK37" s="299"/>
      <c r="FKL37" s="299"/>
      <c r="FKM37" s="299"/>
      <c r="FKN37" s="299"/>
      <c r="FKO37" s="299"/>
      <c r="FKP37" s="299"/>
      <c r="FKQ37" s="299"/>
      <c r="FKR37" s="299"/>
      <c r="FKS37" s="299"/>
      <c r="FKT37" s="299"/>
      <c r="FKU37" s="299"/>
      <c r="FKV37" s="299"/>
      <c r="FKW37" s="299"/>
      <c r="FKX37" s="299"/>
      <c r="FKY37" s="299"/>
      <c r="FKZ37" s="299"/>
      <c r="FLA37" s="299"/>
      <c r="FLB37" s="299"/>
      <c r="FLC37" s="299"/>
      <c r="FLD37" s="299"/>
      <c r="FLE37" s="299"/>
      <c r="FLF37" s="299"/>
      <c r="FLG37" s="299"/>
      <c r="FLH37" s="299"/>
      <c r="FLI37" s="299"/>
      <c r="FLJ37" s="299"/>
      <c r="FLK37" s="299"/>
      <c r="FLL37" s="299"/>
      <c r="FLM37" s="299"/>
      <c r="FLN37" s="299"/>
      <c r="FLO37" s="299"/>
      <c r="FLP37" s="299"/>
      <c r="FLQ37" s="299"/>
      <c r="FLR37" s="299"/>
      <c r="FLS37" s="299"/>
      <c r="FLT37" s="299"/>
      <c r="FLU37" s="299"/>
      <c r="FLV37" s="299"/>
      <c r="FLW37" s="299"/>
      <c r="FLX37" s="299"/>
      <c r="FLY37" s="299"/>
      <c r="FLZ37" s="299"/>
      <c r="FMA37" s="299"/>
      <c r="FMB37" s="299"/>
      <c r="FMC37" s="299"/>
      <c r="FMD37" s="299"/>
      <c r="FME37" s="299"/>
      <c r="FMF37" s="299"/>
      <c r="FMG37" s="299"/>
      <c r="FMH37" s="299"/>
      <c r="FMI37" s="299"/>
      <c r="FMJ37" s="299"/>
      <c r="FMK37" s="299"/>
      <c r="FML37" s="299"/>
      <c r="FMM37" s="299"/>
      <c r="FMN37" s="299"/>
      <c r="FMO37" s="299"/>
      <c r="FMP37" s="299"/>
      <c r="FMQ37" s="299"/>
      <c r="FMR37" s="299"/>
      <c r="FMS37" s="299"/>
      <c r="FMT37" s="299"/>
      <c r="FMU37" s="299"/>
      <c r="FMV37" s="299"/>
      <c r="FMW37" s="299"/>
      <c r="FMX37" s="299"/>
      <c r="FMY37" s="299"/>
      <c r="FMZ37" s="299"/>
      <c r="FNA37" s="299"/>
      <c r="FNB37" s="299"/>
      <c r="FNC37" s="299"/>
      <c r="FND37" s="299"/>
      <c r="FNE37" s="299"/>
      <c r="FNF37" s="299"/>
      <c r="FNG37" s="299"/>
      <c r="FNH37" s="299"/>
      <c r="FNI37" s="299"/>
      <c r="FNJ37" s="299"/>
      <c r="FNK37" s="299"/>
      <c r="FNL37" s="299"/>
      <c r="FNM37" s="299"/>
      <c r="FNN37" s="299"/>
      <c r="FNO37" s="299"/>
      <c r="FNP37" s="299"/>
      <c r="FNQ37" s="299"/>
      <c r="FNR37" s="299"/>
      <c r="FNS37" s="299"/>
      <c r="FNT37" s="299"/>
      <c r="FNU37" s="299"/>
      <c r="FNV37" s="299"/>
      <c r="FNW37" s="299"/>
      <c r="FNX37" s="299"/>
      <c r="FNY37" s="299"/>
      <c r="FNZ37" s="299"/>
      <c r="FOA37" s="299"/>
      <c r="FOB37" s="299"/>
      <c r="FOC37" s="299"/>
      <c r="FOD37" s="299"/>
      <c r="FOE37" s="299"/>
      <c r="FOF37" s="299"/>
      <c r="FOG37" s="299"/>
      <c r="FOH37" s="299"/>
      <c r="FOI37" s="299"/>
      <c r="FOJ37" s="299"/>
      <c r="FOK37" s="299"/>
      <c r="FOL37" s="299"/>
      <c r="FOM37" s="299"/>
      <c r="FON37" s="299"/>
      <c r="FOO37" s="299"/>
      <c r="FOP37" s="299"/>
      <c r="FOQ37" s="299"/>
      <c r="FOR37" s="299"/>
      <c r="FOS37" s="299"/>
      <c r="FOT37" s="299"/>
      <c r="FOU37" s="299"/>
      <c r="FOV37" s="299"/>
      <c r="FOW37" s="299"/>
      <c r="FOX37" s="299"/>
      <c r="FOY37" s="299"/>
      <c r="FOZ37" s="299"/>
      <c r="FPA37" s="299"/>
      <c r="FPB37" s="299"/>
      <c r="FPC37" s="299"/>
      <c r="FPD37" s="299"/>
      <c r="FPE37" s="299"/>
      <c r="FPF37" s="299"/>
      <c r="FPG37" s="299"/>
      <c r="FPH37" s="299"/>
      <c r="FPI37" s="299"/>
      <c r="FPJ37" s="299"/>
      <c r="FPK37" s="299"/>
      <c r="FPL37" s="299"/>
      <c r="FPM37" s="299"/>
      <c r="FPN37" s="299"/>
      <c r="FPO37" s="299"/>
      <c r="FPP37" s="299"/>
      <c r="FPQ37" s="299"/>
      <c r="FPR37" s="299"/>
      <c r="FPS37" s="299"/>
      <c r="FPT37" s="299"/>
      <c r="FPU37" s="299"/>
      <c r="FPV37" s="299"/>
      <c r="FPW37" s="299"/>
      <c r="FPX37" s="299"/>
      <c r="FPY37" s="299"/>
      <c r="FPZ37" s="299"/>
      <c r="FQA37" s="299"/>
      <c r="FQB37" s="299"/>
      <c r="FQC37" s="299"/>
      <c r="FQD37" s="299"/>
      <c r="FQE37" s="299"/>
      <c r="FQF37" s="299"/>
      <c r="FQG37" s="299"/>
      <c r="FQH37" s="299"/>
      <c r="FQI37" s="299"/>
      <c r="FQJ37" s="299"/>
      <c r="FQK37" s="299"/>
      <c r="FQL37" s="299"/>
      <c r="FQM37" s="299"/>
      <c r="FQN37" s="299"/>
      <c r="FQO37" s="299"/>
      <c r="FQP37" s="299"/>
      <c r="FQQ37" s="299"/>
      <c r="FQR37" s="299"/>
      <c r="FQS37" s="299"/>
      <c r="FQT37" s="299"/>
      <c r="FQU37" s="299"/>
      <c r="FQV37" s="299"/>
      <c r="FQW37" s="299"/>
      <c r="FQX37" s="299"/>
      <c r="FQY37" s="299"/>
      <c r="FQZ37" s="299"/>
      <c r="FRA37" s="299"/>
      <c r="FRB37" s="299"/>
      <c r="FRC37" s="299"/>
      <c r="FRD37" s="299"/>
      <c r="FRE37" s="299"/>
      <c r="FRF37" s="299"/>
      <c r="FRG37" s="299"/>
      <c r="FRH37" s="299"/>
      <c r="FRI37" s="299"/>
      <c r="FRJ37" s="299"/>
      <c r="FRK37" s="299"/>
      <c r="FRL37" s="299"/>
      <c r="FRM37" s="299"/>
      <c r="FRN37" s="299"/>
      <c r="FRO37" s="299"/>
      <c r="FRP37" s="299"/>
      <c r="FRQ37" s="299"/>
      <c r="FRR37" s="299"/>
      <c r="FRS37" s="299"/>
      <c r="FRT37" s="299"/>
      <c r="FRU37" s="299"/>
      <c r="FRV37" s="299"/>
      <c r="FRW37" s="299"/>
      <c r="FRX37" s="299"/>
      <c r="FRY37" s="299"/>
      <c r="FRZ37" s="299"/>
      <c r="FSA37" s="299"/>
      <c r="FSB37" s="299"/>
      <c r="FSC37" s="299"/>
      <c r="FSD37" s="299"/>
      <c r="FSE37" s="299"/>
      <c r="FSF37" s="299"/>
      <c r="FSG37" s="299"/>
      <c r="FSH37" s="299"/>
      <c r="FSI37" s="299"/>
      <c r="FSJ37" s="299"/>
      <c r="FSK37" s="299"/>
      <c r="FSL37" s="299"/>
      <c r="FSM37" s="299"/>
      <c r="FSN37" s="299"/>
      <c r="FSO37" s="299"/>
      <c r="FSP37" s="299"/>
      <c r="FSQ37" s="299"/>
      <c r="FSR37" s="299"/>
      <c r="FSS37" s="299"/>
      <c r="FST37" s="299"/>
      <c r="FSU37" s="299"/>
      <c r="FSV37" s="299"/>
      <c r="FSW37" s="299"/>
      <c r="FSX37" s="299"/>
      <c r="FSY37" s="299"/>
      <c r="FSZ37" s="299"/>
      <c r="FTA37" s="299"/>
      <c r="FTB37" s="299"/>
      <c r="FTC37" s="299"/>
      <c r="FTD37" s="299"/>
      <c r="FTE37" s="299"/>
      <c r="FTF37" s="299"/>
      <c r="FTG37" s="299"/>
      <c r="FTH37" s="299"/>
      <c r="FTI37" s="299"/>
      <c r="FTJ37" s="299"/>
      <c r="FTK37" s="299"/>
      <c r="FTL37" s="299"/>
      <c r="FTM37" s="299"/>
      <c r="FTN37" s="299"/>
      <c r="FTO37" s="299"/>
      <c r="FTP37" s="299"/>
      <c r="FTQ37" s="299"/>
      <c r="FTR37" s="299"/>
      <c r="FTS37" s="299"/>
      <c r="FTT37" s="299"/>
      <c r="FTU37" s="299"/>
      <c r="FTV37" s="299"/>
      <c r="FTW37" s="299"/>
      <c r="FTX37" s="299"/>
      <c r="FTY37" s="299"/>
      <c r="FTZ37" s="299"/>
      <c r="FUA37" s="299"/>
      <c r="FUB37" s="299"/>
      <c r="FUC37" s="299"/>
      <c r="FUD37" s="299"/>
      <c r="FUE37" s="299"/>
      <c r="FUF37" s="299"/>
      <c r="FUG37" s="299"/>
      <c r="FUH37" s="299"/>
      <c r="FUI37" s="299"/>
      <c r="FUJ37" s="299"/>
      <c r="FUK37" s="299"/>
      <c r="FUL37" s="299"/>
      <c r="FUM37" s="299"/>
      <c r="FUN37" s="299"/>
      <c r="FUO37" s="299"/>
      <c r="FUP37" s="299"/>
      <c r="FUQ37" s="299"/>
      <c r="FUR37" s="299"/>
      <c r="FUS37" s="299"/>
      <c r="FUT37" s="299"/>
      <c r="FUU37" s="299"/>
      <c r="FUV37" s="299"/>
      <c r="FUW37" s="299"/>
      <c r="FUX37" s="299"/>
      <c r="FUY37" s="299"/>
      <c r="FUZ37" s="299"/>
      <c r="FVA37" s="299"/>
      <c r="FVB37" s="299"/>
      <c r="FVC37" s="299"/>
      <c r="FVD37" s="299"/>
      <c r="FVE37" s="299"/>
      <c r="FVF37" s="299"/>
      <c r="FVG37" s="299"/>
      <c r="FVH37" s="299"/>
      <c r="FVI37" s="299"/>
      <c r="FVJ37" s="299"/>
      <c r="FVK37" s="299"/>
      <c r="FVL37" s="299"/>
      <c r="FVM37" s="299"/>
      <c r="FVN37" s="299"/>
      <c r="FVO37" s="299"/>
      <c r="FVP37" s="299"/>
      <c r="FVQ37" s="299"/>
      <c r="FVR37" s="299"/>
      <c r="FVS37" s="299"/>
      <c r="FVT37" s="299"/>
      <c r="FVU37" s="299"/>
      <c r="FVV37" s="299"/>
      <c r="FVW37" s="299"/>
      <c r="FVX37" s="299"/>
      <c r="FVY37" s="299"/>
      <c r="FVZ37" s="299"/>
      <c r="FWA37" s="299"/>
      <c r="FWB37" s="299"/>
      <c r="FWC37" s="299"/>
      <c r="FWD37" s="299"/>
      <c r="FWE37" s="299"/>
      <c r="FWF37" s="299"/>
      <c r="FWG37" s="299"/>
      <c r="FWH37" s="299"/>
      <c r="FWI37" s="299"/>
      <c r="FWJ37" s="299"/>
      <c r="FWK37" s="299"/>
      <c r="FWL37" s="299"/>
      <c r="FWM37" s="299"/>
      <c r="FWN37" s="299"/>
      <c r="FWO37" s="299"/>
      <c r="FWP37" s="299"/>
      <c r="FWQ37" s="299"/>
      <c r="FWR37" s="299"/>
      <c r="FWS37" s="299"/>
      <c r="FWT37" s="299"/>
      <c r="FWU37" s="299"/>
      <c r="FWV37" s="299"/>
      <c r="FWW37" s="299"/>
      <c r="FWX37" s="299"/>
      <c r="FWY37" s="299"/>
      <c r="FWZ37" s="299"/>
      <c r="FXA37" s="299"/>
      <c r="FXB37" s="299"/>
      <c r="FXC37" s="299"/>
      <c r="FXD37" s="299"/>
      <c r="FXE37" s="299"/>
      <c r="FXF37" s="299"/>
      <c r="FXG37" s="299"/>
      <c r="FXH37" s="299"/>
      <c r="FXI37" s="299"/>
      <c r="FXJ37" s="299"/>
      <c r="FXK37" s="299"/>
      <c r="FXL37" s="299"/>
      <c r="FXM37" s="299"/>
      <c r="FXN37" s="299"/>
      <c r="FXO37" s="299"/>
      <c r="FXP37" s="299"/>
      <c r="FXQ37" s="299"/>
      <c r="FXR37" s="299"/>
      <c r="FXS37" s="299"/>
      <c r="FXT37" s="299"/>
      <c r="FXU37" s="299"/>
      <c r="FXV37" s="299"/>
      <c r="FXW37" s="299"/>
      <c r="FXX37" s="299"/>
      <c r="FXY37" s="299"/>
      <c r="FXZ37" s="299"/>
      <c r="FYA37" s="299"/>
      <c r="FYB37" s="299"/>
      <c r="FYC37" s="299"/>
      <c r="FYD37" s="299"/>
      <c r="FYE37" s="299"/>
      <c r="FYF37" s="299"/>
      <c r="FYG37" s="299"/>
      <c r="FYH37" s="299"/>
      <c r="FYI37" s="299"/>
      <c r="FYJ37" s="299"/>
      <c r="FYK37" s="299"/>
      <c r="FYL37" s="299"/>
      <c r="FYM37" s="299"/>
      <c r="FYN37" s="299"/>
      <c r="FYO37" s="299"/>
      <c r="FYP37" s="299"/>
      <c r="FYQ37" s="299"/>
      <c r="FYR37" s="299"/>
      <c r="FYS37" s="299"/>
      <c r="FYT37" s="299"/>
      <c r="FYU37" s="299"/>
      <c r="FYV37" s="299"/>
      <c r="FYW37" s="299"/>
      <c r="FYX37" s="299"/>
      <c r="FYY37" s="299"/>
      <c r="FYZ37" s="299"/>
      <c r="FZA37" s="299"/>
      <c r="FZB37" s="299"/>
      <c r="FZC37" s="299"/>
      <c r="FZD37" s="299"/>
      <c r="FZE37" s="299"/>
      <c r="FZF37" s="299"/>
      <c r="FZG37" s="299"/>
      <c r="FZH37" s="299"/>
      <c r="FZI37" s="299"/>
      <c r="FZJ37" s="299"/>
      <c r="FZK37" s="299"/>
      <c r="FZL37" s="299"/>
      <c r="FZM37" s="299"/>
      <c r="FZN37" s="299"/>
      <c r="FZO37" s="299"/>
      <c r="FZP37" s="299"/>
      <c r="FZQ37" s="299"/>
      <c r="FZR37" s="299"/>
      <c r="FZS37" s="299"/>
      <c r="FZT37" s="299"/>
      <c r="FZU37" s="299"/>
      <c r="FZV37" s="299"/>
      <c r="FZW37" s="299"/>
      <c r="FZX37" s="299"/>
      <c r="FZY37" s="299"/>
      <c r="FZZ37" s="299"/>
      <c r="GAA37" s="299"/>
      <c r="GAB37" s="299"/>
      <c r="GAC37" s="299"/>
      <c r="GAD37" s="299"/>
      <c r="GAE37" s="299"/>
      <c r="GAF37" s="299"/>
      <c r="GAG37" s="299"/>
      <c r="GAH37" s="299"/>
      <c r="GAI37" s="299"/>
      <c r="GAJ37" s="299"/>
      <c r="GAK37" s="299"/>
      <c r="GAL37" s="299"/>
      <c r="GAM37" s="299"/>
      <c r="GAN37" s="299"/>
      <c r="GAO37" s="299"/>
      <c r="GAP37" s="299"/>
      <c r="GAQ37" s="299"/>
      <c r="GAR37" s="299"/>
      <c r="GAS37" s="299"/>
      <c r="GAT37" s="299"/>
      <c r="GAU37" s="299"/>
      <c r="GAV37" s="299"/>
      <c r="GAW37" s="299"/>
      <c r="GAX37" s="299"/>
      <c r="GAY37" s="299"/>
      <c r="GAZ37" s="299"/>
      <c r="GBA37" s="299"/>
      <c r="GBB37" s="299"/>
      <c r="GBC37" s="299"/>
      <c r="GBD37" s="299"/>
      <c r="GBE37" s="299"/>
      <c r="GBF37" s="299"/>
      <c r="GBG37" s="299"/>
      <c r="GBH37" s="299"/>
      <c r="GBI37" s="299"/>
      <c r="GBJ37" s="299"/>
      <c r="GBK37" s="299"/>
      <c r="GBL37" s="299"/>
      <c r="GBM37" s="299"/>
      <c r="GBN37" s="299"/>
      <c r="GBO37" s="299"/>
      <c r="GBP37" s="299"/>
      <c r="GBQ37" s="299"/>
      <c r="GBR37" s="299"/>
      <c r="GBS37" s="299"/>
      <c r="GBT37" s="299"/>
      <c r="GBU37" s="299"/>
      <c r="GBV37" s="299"/>
      <c r="GBW37" s="299"/>
      <c r="GBX37" s="299"/>
      <c r="GBY37" s="299"/>
      <c r="GBZ37" s="299"/>
      <c r="GCA37" s="299"/>
      <c r="GCB37" s="299"/>
      <c r="GCC37" s="299"/>
      <c r="GCD37" s="299"/>
      <c r="GCE37" s="299"/>
      <c r="GCF37" s="299"/>
      <c r="GCG37" s="299"/>
      <c r="GCH37" s="299"/>
      <c r="GCI37" s="299"/>
      <c r="GCJ37" s="299"/>
      <c r="GCK37" s="299"/>
      <c r="GCL37" s="299"/>
      <c r="GCM37" s="299"/>
      <c r="GCN37" s="299"/>
      <c r="GCO37" s="299"/>
      <c r="GCP37" s="299"/>
      <c r="GCQ37" s="299"/>
      <c r="GCR37" s="299"/>
      <c r="GCS37" s="299"/>
      <c r="GCT37" s="299"/>
      <c r="GCU37" s="299"/>
      <c r="GCV37" s="299"/>
      <c r="GCW37" s="299"/>
      <c r="GCX37" s="299"/>
      <c r="GCY37" s="299"/>
      <c r="GCZ37" s="299"/>
      <c r="GDA37" s="299"/>
      <c r="GDB37" s="299"/>
      <c r="GDC37" s="299"/>
      <c r="GDD37" s="299"/>
      <c r="GDE37" s="299"/>
      <c r="GDF37" s="299"/>
      <c r="GDG37" s="299"/>
      <c r="GDH37" s="299"/>
      <c r="GDI37" s="299"/>
      <c r="GDJ37" s="299"/>
      <c r="GDK37" s="299"/>
      <c r="GDL37" s="299"/>
      <c r="GDM37" s="299"/>
      <c r="GDN37" s="299"/>
      <c r="GDO37" s="299"/>
      <c r="GDP37" s="299"/>
      <c r="GDQ37" s="299"/>
      <c r="GDR37" s="299"/>
      <c r="GDS37" s="299"/>
      <c r="GDT37" s="299"/>
      <c r="GDU37" s="299"/>
      <c r="GDV37" s="299"/>
      <c r="GDW37" s="299"/>
      <c r="GDX37" s="299"/>
      <c r="GDY37" s="299"/>
      <c r="GDZ37" s="299"/>
      <c r="GEA37" s="299"/>
      <c r="GEB37" s="299"/>
      <c r="GEC37" s="299"/>
      <c r="GED37" s="299"/>
      <c r="GEE37" s="299"/>
      <c r="GEF37" s="299"/>
      <c r="GEG37" s="299"/>
      <c r="GEH37" s="299"/>
      <c r="GEI37" s="299"/>
      <c r="GEJ37" s="299"/>
      <c r="GEK37" s="299"/>
      <c r="GEL37" s="299"/>
      <c r="GEM37" s="299"/>
      <c r="GEN37" s="299"/>
      <c r="GEO37" s="299"/>
      <c r="GEP37" s="299"/>
      <c r="GEQ37" s="299"/>
      <c r="GER37" s="299"/>
      <c r="GES37" s="299"/>
      <c r="GET37" s="299"/>
      <c r="GEU37" s="299"/>
      <c r="GEV37" s="299"/>
      <c r="GEW37" s="299"/>
      <c r="GEX37" s="299"/>
      <c r="GEY37" s="299"/>
      <c r="GEZ37" s="299"/>
      <c r="GFA37" s="299"/>
      <c r="GFB37" s="299"/>
      <c r="GFC37" s="299"/>
      <c r="GFD37" s="299"/>
      <c r="GFE37" s="299"/>
      <c r="GFF37" s="299"/>
      <c r="GFG37" s="299"/>
      <c r="GFH37" s="299"/>
      <c r="GFI37" s="299"/>
      <c r="GFJ37" s="299"/>
      <c r="GFK37" s="299"/>
      <c r="GFL37" s="299"/>
      <c r="GFM37" s="299"/>
      <c r="GFN37" s="299"/>
      <c r="GFO37" s="299"/>
      <c r="GFP37" s="299"/>
      <c r="GFQ37" s="299"/>
      <c r="GFR37" s="299"/>
      <c r="GFS37" s="299"/>
      <c r="GFT37" s="299"/>
      <c r="GFU37" s="299"/>
      <c r="GFV37" s="299"/>
      <c r="GFW37" s="299"/>
      <c r="GFX37" s="299"/>
      <c r="GFY37" s="299"/>
      <c r="GFZ37" s="299"/>
      <c r="GGA37" s="299"/>
      <c r="GGB37" s="299"/>
      <c r="GGC37" s="299"/>
      <c r="GGD37" s="299"/>
      <c r="GGE37" s="299"/>
      <c r="GGF37" s="299"/>
      <c r="GGG37" s="299"/>
      <c r="GGH37" s="299"/>
      <c r="GGI37" s="299"/>
      <c r="GGJ37" s="299"/>
      <c r="GGK37" s="299"/>
      <c r="GGL37" s="299"/>
      <c r="GGM37" s="299"/>
      <c r="GGN37" s="299"/>
      <c r="GGO37" s="299"/>
      <c r="GGP37" s="299"/>
      <c r="GGQ37" s="299"/>
      <c r="GGR37" s="299"/>
      <c r="GGS37" s="299"/>
      <c r="GGT37" s="299"/>
      <c r="GGU37" s="299"/>
      <c r="GGV37" s="299"/>
      <c r="GGW37" s="299"/>
      <c r="GGX37" s="299"/>
      <c r="GGY37" s="299"/>
      <c r="GGZ37" s="299"/>
      <c r="GHA37" s="299"/>
      <c r="GHB37" s="299"/>
      <c r="GHC37" s="299"/>
      <c r="GHD37" s="299"/>
      <c r="GHE37" s="299"/>
      <c r="GHF37" s="299"/>
      <c r="GHG37" s="299"/>
      <c r="GHH37" s="299"/>
      <c r="GHI37" s="299"/>
      <c r="GHJ37" s="299"/>
      <c r="GHK37" s="299"/>
      <c r="GHL37" s="299"/>
      <c r="GHM37" s="299"/>
      <c r="GHN37" s="299"/>
      <c r="GHO37" s="299"/>
      <c r="GHP37" s="299"/>
      <c r="GHQ37" s="299"/>
      <c r="GHR37" s="299"/>
      <c r="GHS37" s="299"/>
      <c r="GHT37" s="299"/>
      <c r="GHU37" s="299"/>
      <c r="GHV37" s="299"/>
      <c r="GHW37" s="299"/>
      <c r="GHX37" s="299"/>
      <c r="GHY37" s="299"/>
      <c r="GHZ37" s="299"/>
      <c r="GIA37" s="299"/>
      <c r="GIB37" s="299"/>
      <c r="GIC37" s="299"/>
      <c r="GID37" s="299"/>
      <c r="GIE37" s="299"/>
      <c r="GIF37" s="299"/>
      <c r="GIG37" s="299"/>
      <c r="GIH37" s="299"/>
      <c r="GII37" s="299"/>
      <c r="GIJ37" s="299"/>
      <c r="GIK37" s="299"/>
      <c r="GIL37" s="299"/>
      <c r="GIM37" s="299"/>
      <c r="GIN37" s="299"/>
      <c r="GIO37" s="299"/>
      <c r="GIP37" s="299"/>
      <c r="GIQ37" s="299"/>
      <c r="GIR37" s="299"/>
      <c r="GIS37" s="299"/>
      <c r="GIT37" s="299"/>
      <c r="GIU37" s="299"/>
      <c r="GIV37" s="299"/>
      <c r="GIW37" s="299"/>
      <c r="GIX37" s="299"/>
      <c r="GIY37" s="299"/>
      <c r="GIZ37" s="299"/>
      <c r="GJA37" s="299"/>
      <c r="GJB37" s="299"/>
      <c r="GJC37" s="299"/>
      <c r="GJD37" s="299"/>
      <c r="GJE37" s="299"/>
      <c r="GJF37" s="299"/>
      <c r="GJG37" s="299"/>
      <c r="GJH37" s="299"/>
      <c r="GJI37" s="299"/>
      <c r="GJJ37" s="299"/>
      <c r="GJK37" s="299"/>
      <c r="GJL37" s="299"/>
      <c r="GJM37" s="299"/>
      <c r="GJN37" s="299"/>
      <c r="GJO37" s="299"/>
      <c r="GJP37" s="299"/>
      <c r="GJQ37" s="299"/>
      <c r="GJR37" s="299"/>
      <c r="GJS37" s="299"/>
      <c r="GJT37" s="299"/>
      <c r="GJU37" s="299"/>
      <c r="GJV37" s="299"/>
      <c r="GJW37" s="299"/>
      <c r="GJX37" s="299"/>
      <c r="GJY37" s="299"/>
      <c r="GJZ37" s="299"/>
      <c r="GKA37" s="299"/>
      <c r="GKB37" s="299"/>
      <c r="GKC37" s="299"/>
      <c r="GKD37" s="299"/>
      <c r="GKE37" s="299"/>
      <c r="GKF37" s="299"/>
      <c r="GKG37" s="299"/>
      <c r="GKH37" s="299"/>
      <c r="GKI37" s="299"/>
      <c r="GKJ37" s="299"/>
      <c r="GKK37" s="299"/>
      <c r="GKL37" s="299"/>
      <c r="GKM37" s="299"/>
      <c r="GKN37" s="299"/>
      <c r="GKO37" s="299"/>
      <c r="GKP37" s="299"/>
      <c r="GKQ37" s="299"/>
      <c r="GKR37" s="299"/>
      <c r="GKS37" s="299"/>
      <c r="GKT37" s="299"/>
      <c r="GKU37" s="299"/>
      <c r="GKV37" s="299"/>
      <c r="GKW37" s="299"/>
      <c r="GKX37" s="299"/>
      <c r="GKY37" s="299"/>
      <c r="GKZ37" s="299"/>
      <c r="GLA37" s="299"/>
      <c r="GLB37" s="299"/>
      <c r="GLC37" s="299"/>
      <c r="GLD37" s="299"/>
      <c r="GLE37" s="299"/>
      <c r="GLF37" s="299"/>
      <c r="GLG37" s="299"/>
      <c r="GLH37" s="299"/>
      <c r="GLI37" s="299"/>
      <c r="GLJ37" s="299"/>
      <c r="GLK37" s="299"/>
      <c r="GLL37" s="299"/>
      <c r="GLM37" s="299"/>
      <c r="GLN37" s="299"/>
      <c r="GLO37" s="299"/>
      <c r="GLP37" s="299"/>
      <c r="GLQ37" s="299"/>
      <c r="GLR37" s="299"/>
      <c r="GLS37" s="299"/>
      <c r="GLT37" s="299"/>
      <c r="GLU37" s="299"/>
      <c r="GLV37" s="299"/>
      <c r="GLW37" s="299"/>
      <c r="GLX37" s="299"/>
      <c r="GLY37" s="299"/>
      <c r="GLZ37" s="299"/>
      <c r="GMA37" s="299"/>
      <c r="GMB37" s="299"/>
      <c r="GMC37" s="299"/>
      <c r="GMD37" s="299"/>
      <c r="GME37" s="299"/>
      <c r="GMF37" s="299"/>
      <c r="GMG37" s="299"/>
      <c r="GMH37" s="299"/>
      <c r="GMI37" s="299"/>
      <c r="GMJ37" s="299"/>
      <c r="GMK37" s="299"/>
      <c r="GML37" s="299"/>
      <c r="GMM37" s="299"/>
      <c r="GMN37" s="299"/>
      <c r="GMO37" s="299"/>
      <c r="GMP37" s="299"/>
      <c r="GMQ37" s="299"/>
      <c r="GMR37" s="299"/>
      <c r="GMS37" s="299"/>
      <c r="GMT37" s="299"/>
      <c r="GMU37" s="299"/>
      <c r="GMV37" s="299"/>
      <c r="GMW37" s="299"/>
      <c r="GMX37" s="299"/>
      <c r="GMY37" s="299"/>
      <c r="GMZ37" s="299"/>
      <c r="GNA37" s="299"/>
      <c r="GNB37" s="299"/>
      <c r="GNC37" s="299"/>
      <c r="GND37" s="299"/>
      <c r="GNE37" s="299"/>
      <c r="GNF37" s="299"/>
      <c r="GNG37" s="299"/>
      <c r="GNH37" s="299"/>
      <c r="GNI37" s="299"/>
      <c r="GNJ37" s="299"/>
      <c r="GNK37" s="299"/>
      <c r="GNL37" s="299"/>
      <c r="GNM37" s="299"/>
      <c r="GNN37" s="299"/>
      <c r="GNO37" s="299"/>
      <c r="GNP37" s="299"/>
      <c r="GNQ37" s="299"/>
      <c r="GNR37" s="299"/>
      <c r="GNS37" s="299"/>
      <c r="GNT37" s="299"/>
      <c r="GNU37" s="299"/>
      <c r="GNV37" s="299"/>
      <c r="GNW37" s="299"/>
      <c r="GNX37" s="299"/>
      <c r="GNY37" s="299"/>
      <c r="GNZ37" s="299"/>
      <c r="GOA37" s="299"/>
      <c r="GOB37" s="299"/>
      <c r="GOC37" s="299"/>
      <c r="GOD37" s="299"/>
      <c r="GOE37" s="299"/>
      <c r="GOF37" s="299"/>
      <c r="GOG37" s="299"/>
      <c r="GOH37" s="299"/>
      <c r="GOI37" s="299"/>
      <c r="GOJ37" s="299"/>
      <c r="GOK37" s="299"/>
      <c r="GOL37" s="299"/>
      <c r="GOM37" s="299"/>
      <c r="GON37" s="299"/>
      <c r="GOO37" s="299"/>
      <c r="GOP37" s="299"/>
      <c r="GOQ37" s="299"/>
      <c r="GOR37" s="299"/>
      <c r="GOS37" s="299"/>
      <c r="GOT37" s="299"/>
      <c r="GOU37" s="299"/>
      <c r="GOV37" s="299"/>
      <c r="GOW37" s="299"/>
      <c r="GOX37" s="299"/>
      <c r="GOY37" s="299"/>
      <c r="GOZ37" s="299"/>
      <c r="GPA37" s="299"/>
      <c r="GPB37" s="299"/>
      <c r="GPC37" s="299"/>
      <c r="GPD37" s="299"/>
      <c r="GPE37" s="299"/>
      <c r="GPF37" s="299"/>
      <c r="GPG37" s="299"/>
      <c r="GPH37" s="299"/>
      <c r="GPI37" s="299"/>
      <c r="GPJ37" s="299"/>
      <c r="GPK37" s="299"/>
      <c r="GPL37" s="299"/>
      <c r="GPM37" s="299"/>
      <c r="GPN37" s="299"/>
      <c r="GPO37" s="299"/>
      <c r="GPP37" s="299"/>
      <c r="GPQ37" s="299"/>
      <c r="GPR37" s="299"/>
      <c r="GPS37" s="299"/>
      <c r="GPT37" s="299"/>
      <c r="GPU37" s="299"/>
      <c r="GPV37" s="299"/>
      <c r="GPW37" s="299"/>
      <c r="GPX37" s="299"/>
      <c r="GPY37" s="299"/>
      <c r="GPZ37" s="299"/>
      <c r="GQA37" s="299"/>
      <c r="GQB37" s="299"/>
      <c r="GQC37" s="299"/>
      <c r="GQD37" s="299"/>
      <c r="GQE37" s="299"/>
      <c r="GQF37" s="299"/>
      <c r="GQG37" s="299"/>
      <c r="GQH37" s="299"/>
      <c r="GQI37" s="299"/>
      <c r="GQJ37" s="299"/>
      <c r="GQK37" s="299"/>
      <c r="GQL37" s="299"/>
      <c r="GQM37" s="299"/>
      <c r="GQN37" s="299"/>
      <c r="GQO37" s="299"/>
      <c r="GQP37" s="299"/>
      <c r="GQQ37" s="299"/>
      <c r="GQR37" s="299"/>
      <c r="GQS37" s="299"/>
      <c r="GQT37" s="299"/>
      <c r="GQU37" s="299"/>
      <c r="GQV37" s="299"/>
      <c r="GQW37" s="299"/>
      <c r="GQX37" s="299"/>
      <c r="GQY37" s="299"/>
      <c r="GQZ37" s="299"/>
      <c r="GRA37" s="299"/>
      <c r="GRB37" s="299"/>
      <c r="GRC37" s="299"/>
      <c r="GRD37" s="299"/>
      <c r="GRE37" s="299"/>
      <c r="GRF37" s="299"/>
      <c r="GRG37" s="299"/>
      <c r="GRH37" s="299"/>
      <c r="GRI37" s="299"/>
      <c r="GRJ37" s="299"/>
      <c r="GRK37" s="299"/>
      <c r="GRL37" s="299"/>
      <c r="GRM37" s="299"/>
      <c r="GRN37" s="299"/>
      <c r="GRO37" s="299"/>
      <c r="GRP37" s="299"/>
      <c r="GRQ37" s="299"/>
      <c r="GRR37" s="299"/>
      <c r="GRS37" s="299"/>
      <c r="GRT37" s="299"/>
      <c r="GRU37" s="299"/>
      <c r="GRV37" s="299"/>
      <c r="GRW37" s="299"/>
      <c r="GRX37" s="299"/>
      <c r="GRY37" s="299"/>
      <c r="GRZ37" s="299"/>
      <c r="GSA37" s="299"/>
      <c r="GSB37" s="299"/>
      <c r="GSC37" s="299"/>
      <c r="GSD37" s="299"/>
      <c r="GSE37" s="299"/>
      <c r="GSF37" s="299"/>
      <c r="GSG37" s="299"/>
      <c r="GSH37" s="299"/>
      <c r="GSI37" s="299"/>
      <c r="GSJ37" s="299"/>
      <c r="GSK37" s="299"/>
      <c r="GSL37" s="299"/>
      <c r="GSM37" s="299"/>
      <c r="GSN37" s="299"/>
      <c r="GSO37" s="299"/>
      <c r="GSP37" s="299"/>
      <c r="GSQ37" s="299"/>
      <c r="GSR37" s="299"/>
      <c r="GSS37" s="299"/>
      <c r="GST37" s="299"/>
      <c r="GSU37" s="299"/>
      <c r="GSV37" s="299"/>
      <c r="GSW37" s="299"/>
      <c r="GSX37" s="299"/>
      <c r="GSY37" s="299"/>
      <c r="GSZ37" s="299"/>
      <c r="GTA37" s="299"/>
      <c r="GTB37" s="299"/>
      <c r="GTC37" s="299"/>
      <c r="GTD37" s="299"/>
      <c r="GTE37" s="299"/>
      <c r="GTF37" s="299"/>
      <c r="GTG37" s="299"/>
      <c r="GTH37" s="299"/>
      <c r="GTI37" s="299"/>
      <c r="GTJ37" s="299"/>
      <c r="GTK37" s="299"/>
      <c r="GTL37" s="299"/>
      <c r="GTM37" s="299"/>
      <c r="GTN37" s="299"/>
      <c r="GTO37" s="299"/>
      <c r="GTP37" s="299"/>
      <c r="GTQ37" s="299"/>
      <c r="GTR37" s="299"/>
      <c r="GTS37" s="299"/>
      <c r="GTT37" s="299"/>
      <c r="GTU37" s="299"/>
      <c r="GTV37" s="299"/>
      <c r="GTW37" s="299"/>
      <c r="GTX37" s="299"/>
      <c r="GTY37" s="299"/>
      <c r="GTZ37" s="299"/>
      <c r="GUA37" s="299"/>
      <c r="GUB37" s="299"/>
      <c r="GUC37" s="299"/>
      <c r="GUD37" s="299"/>
      <c r="GUE37" s="299"/>
      <c r="GUF37" s="299"/>
      <c r="GUG37" s="299"/>
      <c r="GUH37" s="299"/>
      <c r="GUI37" s="299"/>
      <c r="GUJ37" s="299"/>
      <c r="GUK37" s="299"/>
      <c r="GUL37" s="299"/>
      <c r="GUM37" s="299"/>
      <c r="GUN37" s="299"/>
      <c r="GUO37" s="299"/>
      <c r="GUP37" s="299"/>
      <c r="GUQ37" s="299"/>
      <c r="GUR37" s="299"/>
      <c r="GUS37" s="299"/>
      <c r="GUT37" s="299"/>
      <c r="GUU37" s="299"/>
      <c r="GUV37" s="299"/>
      <c r="GUW37" s="299"/>
      <c r="GUX37" s="299"/>
      <c r="GUY37" s="299"/>
      <c r="GUZ37" s="299"/>
      <c r="GVA37" s="299"/>
      <c r="GVB37" s="299"/>
      <c r="GVC37" s="299"/>
      <c r="GVD37" s="299"/>
      <c r="GVE37" s="299"/>
      <c r="GVF37" s="299"/>
      <c r="GVG37" s="299"/>
      <c r="GVH37" s="299"/>
      <c r="GVI37" s="299"/>
      <c r="GVJ37" s="299"/>
      <c r="GVK37" s="299"/>
      <c r="GVL37" s="299"/>
      <c r="GVM37" s="299"/>
      <c r="GVN37" s="299"/>
      <c r="GVO37" s="299"/>
      <c r="GVP37" s="299"/>
      <c r="GVQ37" s="299"/>
      <c r="GVR37" s="299"/>
      <c r="GVS37" s="299"/>
      <c r="GVT37" s="299"/>
      <c r="GVU37" s="299"/>
      <c r="GVV37" s="299"/>
      <c r="GVW37" s="299"/>
      <c r="GVX37" s="299"/>
      <c r="GVY37" s="299"/>
      <c r="GVZ37" s="299"/>
      <c r="GWA37" s="299"/>
      <c r="GWB37" s="299"/>
      <c r="GWC37" s="299"/>
      <c r="GWD37" s="299"/>
      <c r="GWE37" s="299"/>
      <c r="GWF37" s="299"/>
      <c r="GWG37" s="299"/>
      <c r="GWH37" s="299"/>
      <c r="GWI37" s="299"/>
      <c r="GWJ37" s="299"/>
      <c r="GWK37" s="299"/>
      <c r="GWL37" s="299"/>
      <c r="GWM37" s="299"/>
      <c r="GWN37" s="299"/>
      <c r="GWO37" s="299"/>
      <c r="GWP37" s="299"/>
      <c r="GWQ37" s="299"/>
      <c r="GWR37" s="299"/>
      <c r="GWS37" s="299"/>
      <c r="GWT37" s="299"/>
      <c r="GWU37" s="299"/>
      <c r="GWV37" s="299"/>
      <c r="GWW37" s="299"/>
      <c r="GWX37" s="299"/>
      <c r="GWY37" s="299"/>
      <c r="GWZ37" s="299"/>
      <c r="GXA37" s="299"/>
      <c r="GXB37" s="299"/>
      <c r="GXC37" s="299"/>
      <c r="GXD37" s="299"/>
      <c r="GXE37" s="299"/>
      <c r="GXF37" s="299"/>
      <c r="GXG37" s="299"/>
      <c r="GXH37" s="299"/>
      <c r="GXI37" s="299"/>
      <c r="GXJ37" s="299"/>
      <c r="GXK37" s="299"/>
      <c r="GXL37" s="299"/>
      <c r="GXM37" s="299"/>
      <c r="GXN37" s="299"/>
      <c r="GXO37" s="299"/>
      <c r="GXP37" s="299"/>
      <c r="GXQ37" s="299"/>
      <c r="GXR37" s="299"/>
      <c r="GXS37" s="299"/>
      <c r="GXT37" s="299"/>
      <c r="GXU37" s="299"/>
      <c r="GXV37" s="299"/>
      <c r="GXW37" s="299"/>
      <c r="GXX37" s="299"/>
      <c r="GXY37" s="299"/>
      <c r="GXZ37" s="299"/>
      <c r="GYA37" s="299"/>
      <c r="GYB37" s="299"/>
      <c r="GYC37" s="299"/>
      <c r="GYD37" s="299"/>
      <c r="GYE37" s="299"/>
      <c r="GYF37" s="299"/>
      <c r="GYG37" s="299"/>
      <c r="GYH37" s="299"/>
      <c r="GYI37" s="299"/>
      <c r="GYJ37" s="299"/>
      <c r="GYK37" s="299"/>
      <c r="GYL37" s="299"/>
      <c r="GYM37" s="299"/>
      <c r="GYN37" s="299"/>
      <c r="GYO37" s="299"/>
      <c r="GYP37" s="299"/>
      <c r="GYQ37" s="299"/>
      <c r="GYR37" s="299"/>
      <c r="GYS37" s="299"/>
      <c r="GYT37" s="299"/>
      <c r="GYU37" s="299"/>
      <c r="GYV37" s="299"/>
      <c r="GYW37" s="299"/>
      <c r="GYX37" s="299"/>
      <c r="GYY37" s="299"/>
      <c r="GYZ37" s="299"/>
      <c r="GZA37" s="299"/>
      <c r="GZB37" s="299"/>
      <c r="GZC37" s="299"/>
      <c r="GZD37" s="299"/>
      <c r="GZE37" s="299"/>
      <c r="GZF37" s="299"/>
      <c r="GZG37" s="299"/>
      <c r="GZH37" s="299"/>
      <c r="GZI37" s="299"/>
      <c r="GZJ37" s="299"/>
      <c r="GZK37" s="299"/>
      <c r="GZL37" s="299"/>
      <c r="GZM37" s="299"/>
      <c r="GZN37" s="299"/>
      <c r="GZO37" s="299"/>
      <c r="GZP37" s="299"/>
      <c r="GZQ37" s="299"/>
      <c r="GZR37" s="299"/>
      <c r="GZS37" s="299"/>
      <c r="GZT37" s="299"/>
      <c r="GZU37" s="299"/>
      <c r="GZV37" s="299"/>
      <c r="GZW37" s="299"/>
      <c r="GZX37" s="299"/>
      <c r="GZY37" s="299"/>
      <c r="GZZ37" s="299"/>
      <c r="HAA37" s="299"/>
      <c r="HAB37" s="299"/>
      <c r="HAC37" s="299"/>
      <c r="HAD37" s="299"/>
      <c r="HAE37" s="299"/>
      <c r="HAF37" s="299"/>
      <c r="HAG37" s="299"/>
      <c r="HAH37" s="299"/>
      <c r="HAI37" s="299"/>
      <c r="HAJ37" s="299"/>
      <c r="HAK37" s="299"/>
      <c r="HAL37" s="299"/>
      <c r="HAM37" s="299"/>
      <c r="HAN37" s="299"/>
      <c r="HAO37" s="299"/>
      <c r="HAP37" s="299"/>
      <c r="HAQ37" s="299"/>
      <c r="HAR37" s="299"/>
      <c r="HAS37" s="299"/>
      <c r="HAT37" s="299"/>
      <c r="HAU37" s="299"/>
      <c r="HAV37" s="299"/>
      <c r="HAW37" s="299"/>
      <c r="HAX37" s="299"/>
      <c r="HAY37" s="299"/>
      <c r="HAZ37" s="299"/>
      <c r="HBA37" s="299"/>
      <c r="HBB37" s="299"/>
      <c r="HBC37" s="299"/>
      <c r="HBD37" s="299"/>
      <c r="HBE37" s="299"/>
      <c r="HBF37" s="299"/>
      <c r="HBG37" s="299"/>
      <c r="HBH37" s="299"/>
      <c r="HBI37" s="299"/>
      <c r="HBJ37" s="299"/>
      <c r="HBK37" s="299"/>
      <c r="HBL37" s="299"/>
      <c r="HBM37" s="299"/>
      <c r="HBN37" s="299"/>
      <c r="HBO37" s="299"/>
      <c r="HBP37" s="299"/>
      <c r="HBQ37" s="299"/>
      <c r="HBR37" s="299"/>
      <c r="HBS37" s="299"/>
      <c r="HBT37" s="299"/>
      <c r="HBU37" s="299"/>
      <c r="HBV37" s="299"/>
      <c r="HBW37" s="299"/>
      <c r="HBX37" s="299"/>
      <c r="HBY37" s="299"/>
      <c r="HBZ37" s="299"/>
      <c r="HCA37" s="299"/>
      <c r="HCB37" s="299"/>
      <c r="HCC37" s="299"/>
      <c r="HCD37" s="299"/>
      <c r="HCE37" s="299"/>
      <c r="HCF37" s="299"/>
      <c r="HCG37" s="299"/>
      <c r="HCH37" s="299"/>
      <c r="HCI37" s="299"/>
      <c r="HCJ37" s="299"/>
      <c r="HCK37" s="299"/>
      <c r="HCL37" s="299"/>
      <c r="HCM37" s="299"/>
      <c r="HCN37" s="299"/>
      <c r="HCO37" s="299"/>
      <c r="HCP37" s="299"/>
      <c r="HCQ37" s="299"/>
      <c r="HCR37" s="299"/>
      <c r="HCS37" s="299"/>
      <c r="HCT37" s="299"/>
      <c r="HCU37" s="299"/>
      <c r="HCV37" s="299"/>
      <c r="HCW37" s="299"/>
      <c r="HCX37" s="299"/>
      <c r="HCY37" s="299"/>
      <c r="HCZ37" s="299"/>
      <c r="HDA37" s="299"/>
      <c r="HDB37" s="299"/>
      <c r="HDC37" s="299"/>
      <c r="HDD37" s="299"/>
      <c r="HDE37" s="299"/>
      <c r="HDF37" s="299"/>
      <c r="HDG37" s="299"/>
      <c r="HDH37" s="299"/>
      <c r="HDI37" s="299"/>
      <c r="HDJ37" s="299"/>
      <c r="HDK37" s="299"/>
      <c r="HDL37" s="299"/>
      <c r="HDM37" s="299"/>
      <c r="HDN37" s="299"/>
      <c r="HDO37" s="299"/>
      <c r="HDP37" s="299"/>
      <c r="HDQ37" s="299"/>
      <c r="HDR37" s="299"/>
      <c r="HDS37" s="299"/>
      <c r="HDT37" s="299"/>
      <c r="HDU37" s="299"/>
      <c r="HDV37" s="299"/>
      <c r="HDW37" s="299"/>
      <c r="HDX37" s="299"/>
      <c r="HDY37" s="299"/>
      <c r="HDZ37" s="299"/>
      <c r="HEA37" s="299"/>
      <c r="HEB37" s="299"/>
      <c r="HEC37" s="299"/>
      <c r="HED37" s="299"/>
      <c r="HEE37" s="299"/>
      <c r="HEF37" s="299"/>
      <c r="HEG37" s="299"/>
      <c r="HEH37" s="299"/>
      <c r="HEI37" s="299"/>
      <c r="HEJ37" s="299"/>
      <c r="HEK37" s="299"/>
      <c r="HEL37" s="299"/>
      <c r="HEM37" s="299"/>
      <c r="HEN37" s="299"/>
      <c r="HEO37" s="299"/>
      <c r="HEP37" s="299"/>
      <c r="HEQ37" s="299"/>
      <c r="HER37" s="299"/>
      <c r="HES37" s="299"/>
      <c r="HET37" s="299"/>
      <c r="HEU37" s="299"/>
      <c r="HEV37" s="299"/>
      <c r="HEW37" s="299"/>
      <c r="HEX37" s="299"/>
      <c r="HEY37" s="299"/>
      <c r="HEZ37" s="299"/>
      <c r="HFA37" s="299"/>
      <c r="HFB37" s="299"/>
      <c r="HFC37" s="299"/>
      <c r="HFD37" s="299"/>
      <c r="HFE37" s="299"/>
      <c r="HFF37" s="299"/>
      <c r="HFG37" s="299"/>
      <c r="HFH37" s="299"/>
      <c r="HFI37" s="299"/>
      <c r="HFJ37" s="299"/>
      <c r="HFK37" s="299"/>
      <c r="HFL37" s="299"/>
      <c r="HFM37" s="299"/>
      <c r="HFN37" s="299"/>
      <c r="HFO37" s="299"/>
      <c r="HFP37" s="299"/>
      <c r="HFQ37" s="299"/>
      <c r="HFR37" s="299"/>
      <c r="HFS37" s="299"/>
      <c r="HFT37" s="299"/>
      <c r="HFU37" s="299"/>
      <c r="HFV37" s="299"/>
      <c r="HFW37" s="299"/>
      <c r="HFX37" s="299"/>
      <c r="HFY37" s="299"/>
      <c r="HFZ37" s="299"/>
      <c r="HGA37" s="299"/>
      <c r="HGB37" s="299"/>
      <c r="HGC37" s="299"/>
      <c r="HGD37" s="299"/>
      <c r="HGE37" s="299"/>
      <c r="HGF37" s="299"/>
      <c r="HGG37" s="299"/>
      <c r="HGH37" s="299"/>
      <c r="HGI37" s="299"/>
      <c r="HGJ37" s="299"/>
      <c r="HGK37" s="299"/>
      <c r="HGL37" s="299"/>
      <c r="HGM37" s="299"/>
      <c r="HGN37" s="299"/>
      <c r="HGO37" s="299"/>
      <c r="HGP37" s="299"/>
      <c r="HGQ37" s="299"/>
      <c r="HGR37" s="299"/>
      <c r="HGS37" s="299"/>
      <c r="HGT37" s="299"/>
      <c r="HGU37" s="299"/>
      <c r="HGV37" s="299"/>
      <c r="HGW37" s="299"/>
      <c r="HGX37" s="299"/>
      <c r="HGY37" s="299"/>
      <c r="HGZ37" s="299"/>
      <c r="HHA37" s="299"/>
      <c r="HHB37" s="299"/>
      <c r="HHC37" s="299"/>
      <c r="HHD37" s="299"/>
      <c r="HHE37" s="299"/>
      <c r="HHF37" s="299"/>
      <c r="HHG37" s="299"/>
      <c r="HHH37" s="299"/>
      <c r="HHI37" s="299"/>
      <c r="HHJ37" s="299"/>
      <c r="HHK37" s="299"/>
      <c r="HHL37" s="299"/>
      <c r="HHM37" s="299"/>
      <c r="HHN37" s="299"/>
      <c r="HHO37" s="299"/>
      <c r="HHP37" s="299"/>
      <c r="HHQ37" s="299"/>
      <c r="HHR37" s="299"/>
      <c r="HHS37" s="299"/>
      <c r="HHT37" s="299"/>
      <c r="HHU37" s="299"/>
      <c r="HHV37" s="299"/>
      <c r="HHW37" s="299"/>
      <c r="HHX37" s="299"/>
      <c r="HHY37" s="299"/>
      <c r="HHZ37" s="299"/>
      <c r="HIA37" s="299"/>
      <c r="HIB37" s="299"/>
      <c r="HIC37" s="299"/>
      <c r="HID37" s="299"/>
      <c r="HIE37" s="299"/>
      <c r="HIF37" s="299"/>
      <c r="HIG37" s="299"/>
      <c r="HIH37" s="299"/>
      <c r="HII37" s="299"/>
      <c r="HIJ37" s="299"/>
      <c r="HIK37" s="299"/>
      <c r="HIL37" s="299"/>
      <c r="HIM37" s="299"/>
      <c r="HIN37" s="299"/>
      <c r="HIO37" s="299"/>
      <c r="HIP37" s="299"/>
      <c r="HIQ37" s="299"/>
      <c r="HIR37" s="299"/>
      <c r="HIS37" s="299"/>
      <c r="HIT37" s="299"/>
      <c r="HIU37" s="299"/>
      <c r="HIV37" s="299"/>
      <c r="HIW37" s="299"/>
      <c r="HIX37" s="299"/>
      <c r="HIY37" s="299"/>
      <c r="HIZ37" s="299"/>
      <c r="HJA37" s="299"/>
      <c r="HJB37" s="299"/>
      <c r="HJC37" s="299"/>
      <c r="HJD37" s="299"/>
      <c r="HJE37" s="299"/>
      <c r="HJF37" s="299"/>
      <c r="HJG37" s="299"/>
      <c r="HJH37" s="299"/>
      <c r="HJI37" s="299"/>
      <c r="HJJ37" s="299"/>
      <c r="HJK37" s="299"/>
      <c r="HJL37" s="299"/>
      <c r="HJM37" s="299"/>
      <c r="HJN37" s="299"/>
      <c r="HJO37" s="299"/>
      <c r="HJP37" s="299"/>
      <c r="HJQ37" s="299"/>
      <c r="HJR37" s="299"/>
      <c r="HJS37" s="299"/>
      <c r="HJT37" s="299"/>
      <c r="HJU37" s="299"/>
      <c r="HJV37" s="299"/>
      <c r="HJW37" s="299"/>
      <c r="HJX37" s="299"/>
      <c r="HJY37" s="299"/>
      <c r="HJZ37" s="299"/>
      <c r="HKA37" s="299"/>
      <c r="HKB37" s="299"/>
      <c r="HKC37" s="299"/>
      <c r="HKD37" s="299"/>
      <c r="HKE37" s="299"/>
      <c r="HKF37" s="299"/>
      <c r="HKG37" s="299"/>
      <c r="HKH37" s="299"/>
      <c r="HKI37" s="299"/>
      <c r="HKJ37" s="299"/>
      <c r="HKK37" s="299"/>
      <c r="HKL37" s="299"/>
      <c r="HKM37" s="299"/>
      <c r="HKN37" s="299"/>
      <c r="HKO37" s="299"/>
      <c r="HKP37" s="299"/>
      <c r="HKQ37" s="299"/>
      <c r="HKR37" s="299"/>
      <c r="HKS37" s="299"/>
      <c r="HKT37" s="299"/>
      <c r="HKU37" s="299"/>
      <c r="HKV37" s="299"/>
      <c r="HKW37" s="299"/>
      <c r="HKX37" s="299"/>
      <c r="HKY37" s="299"/>
      <c r="HKZ37" s="299"/>
      <c r="HLA37" s="299"/>
      <c r="HLB37" s="299"/>
      <c r="HLC37" s="299"/>
      <c r="HLD37" s="299"/>
      <c r="HLE37" s="299"/>
      <c r="HLF37" s="299"/>
      <c r="HLG37" s="299"/>
      <c r="HLH37" s="299"/>
      <c r="HLI37" s="299"/>
      <c r="HLJ37" s="299"/>
      <c r="HLK37" s="299"/>
      <c r="HLL37" s="299"/>
      <c r="HLM37" s="299"/>
      <c r="HLN37" s="299"/>
      <c r="HLO37" s="299"/>
      <c r="HLP37" s="299"/>
      <c r="HLQ37" s="299"/>
      <c r="HLR37" s="299"/>
      <c r="HLS37" s="299"/>
      <c r="HLT37" s="299"/>
      <c r="HLU37" s="299"/>
      <c r="HLV37" s="299"/>
      <c r="HLW37" s="299"/>
      <c r="HLX37" s="299"/>
      <c r="HLY37" s="299"/>
      <c r="HLZ37" s="299"/>
      <c r="HMA37" s="299"/>
      <c r="HMB37" s="299"/>
      <c r="HMC37" s="299"/>
      <c r="HMD37" s="299"/>
      <c r="HME37" s="299"/>
      <c r="HMF37" s="299"/>
      <c r="HMG37" s="299"/>
      <c r="HMH37" s="299"/>
      <c r="HMI37" s="299"/>
      <c r="HMJ37" s="299"/>
      <c r="HMK37" s="299"/>
      <c r="HML37" s="299"/>
      <c r="HMM37" s="299"/>
      <c r="HMN37" s="299"/>
      <c r="HMO37" s="299"/>
      <c r="HMP37" s="299"/>
      <c r="HMQ37" s="299"/>
      <c r="HMR37" s="299"/>
      <c r="HMS37" s="299"/>
      <c r="HMT37" s="299"/>
      <c r="HMU37" s="299"/>
      <c r="HMV37" s="299"/>
      <c r="HMW37" s="299"/>
      <c r="HMX37" s="299"/>
      <c r="HMY37" s="299"/>
      <c r="HMZ37" s="299"/>
      <c r="HNA37" s="299"/>
      <c r="HNB37" s="299"/>
      <c r="HNC37" s="299"/>
      <c r="HND37" s="299"/>
      <c r="HNE37" s="299"/>
      <c r="HNF37" s="299"/>
      <c r="HNG37" s="299"/>
      <c r="HNH37" s="299"/>
      <c r="HNI37" s="299"/>
      <c r="HNJ37" s="299"/>
      <c r="HNK37" s="299"/>
      <c r="HNL37" s="299"/>
      <c r="HNM37" s="299"/>
      <c r="HNN37" s="299"/>
      <c r="HNO37" s="299"/>
      <c r="HNP37" s="299"/>
      <c r="HNQ37" s="299"/>
      <c r="HNR37" s="299"/>
      <c r="HNS37" s="299"/>
      <c r="HNT37" s="299"/>
      <c r="HNU37" s="299"/>
      <c r="HNV37" s="299"/>
      <c r="HNW37" s="299"/>
      <c r="HNX37" s="299"/>
      <c r="HNY37" s="299"/>
      <c r="HNZ37" s="299"/>
      <c r="HOA37" s="299"/>
      <c r="HOB37" s="299"/>
      <c r="HOC37" s="299"/>
      <c r="HOD37" s="299"/>
      <c r="HOE37" s="299"/>
      <c r="HOF37" s="299"/>
      <c r="HOG37" s="299"/>
      <c r="HOH37" s="299"/>
      <c r="HOI37" s="299"/>
      <c r="HOJ37" s="299"/>
      <c r="HOK37" s="299"/>
      <c r="HOL37" s="299"/>
      <c r="HOM37" s="299"/>
      <c r="HON37" s="299"/>
      <c r="HOO37" s="299"/>
      <c r="HOP37" s="299"/>
      <c r="HOQ37" s="299"/>
      <c r="HOR37" s="299"/>
      <c r="HOS37" s="299"/>
      <c r="HOT37" s="299"/>
      <c r="HOU37" s="299"/>
      <c r="HOV37" s="299"/>
      <c r="HOW37" s="299"/>
      <c r="HOX37" s="299"/>
      <c r="HOY37" s="299"/>
      <c r="HOZ37" s="299"/>
      <c r="HPA37" s="299"/>
      <c r="HPB37" s="299"/>
      <c r="HPC37" s="299"/>
      <c r="HPD37" s="299"/>
      <c r="HPE37" s="299"/>
      <c r="HPF37" s="299"/>
      <c r="HPG37" s="299"/>
      <c r="HPH37" s="299"/>
      <c r="HPI37" s="299"/>
      <c r="HPJ37" s="299"/>
      <c r="HPK37" s="299"/>
      <c r="HPL37" s="299"/>
      <c r="HPM37" s="299"/>
      <c r="HPN37" s="299"/>
      <c r="HPO37" s="299"/>
      <c r="HPP37" s="299"/>
      <c r="HPQ37" s="299"/>
      <c r="HPR37" s="299"/>
      <c r="HPS37" s="299"/>
      <c r="HPT37" s="299"/>
      <c r="HPU37" s="299"/>
      <c r="HPV37" s="299"/>
      <c r="HPW37" s="299"/>
      <c r="HPX37" s="299"/>
      <c r="HPY37" s="299"/>
      <c r="HPZ37" s="299"/>
      <c r="HQA37" s="299"/>
      <c r="HQB37" s="299"/>
      <c r="HQC37" s="299"/>
      <c r="HQD37" s="299"/>
      <c r="HQE37" s="299"/>
      <c r="HQF37" s="299"/>
      <c r="HQG37" s="299"/>
      <c r="HQH37" s="299"/>
      <c r="HQI37" s="299"/>
      <c r="HQJ37" s="299"/>
      <c r="HQK37" s="299"/>
      <c r="HQL37" s="299"/>
      <c r="HQM37" s="299"/>
      <c r="HQN37" s="299"/>
      <c r="HQO37" s="299"/>
      <c r="HQP37" s="299"/>
      <c r="HQQ37" s="299"/>
      <c r="HQR37" s="299"/>
      <c r="HQS37" s="299"/>
      <c r="HQT37" s="299"/>
      <c r="HQU37" s="299"/>
      <c r="HQV37" s="299"/>
      <c r="HQW37" s="299"/>
      <c r="HQX37" s="299"/>
      <c r="HQY37" s="299"/>
      <c r="HQZ37" s="299"/>
      <c r="HRA37" s="299"/>
      <c r="HRB37" s="299"/>
      <c r="HRC37" s="299"/>
      <c r="HRD37" s="299"/>
      <c r="HRE37" s="299"/>
      <c r="HRF37" s="299"/>
      <c r="HRG37" s="299"/>
      <c r="HRH37" s="299"/>
      <c r="HRI37" s="299"/>
      <c r="HRJ37" s="299"/>
      <c r="HRK37" s="299"/>
      <c r="HRL37" s="299"/>
      <c r="HRM37" s="299"/>
      <c r="HRN37" s="299"/>
      <c r="HRO37" s="299"/>
      <c r="HRP37" s="299"/>
      <c r="HRQ37" s="299"/>
      <c r="HRR37" s="299"/>
      <c r="HRS37" s="299"/>
      <c r="HRT37" s="299"/>
      <c r="HRU37" s="299"/>
      <c r="HRV37" s="299"/>
      <c r="HRW37" s="299"/>
      <c r="HRX37" s="299"/>
      <c r="HRY37" s="299"/>
      <c r="HRZ37" s="299"/>
      <c r="HSA37" s="299"/>
      <c r="HSB37" s="299"/>
      <c r="HSC37" s="299"/>
      <c r="HSD37" s="299"/>
      <c r="HSE37" s="299"/>
      <c r="HSF37" s="299"/>
      <c r="HSG37" s="299"/>
      <c r="HSH37" s="299"/>
      <c r="HSI37" s="299"/>
      <c r="HSJ37" s="299"/>
      <c r="HSK37" s="299"/>
      <c r="HSL37" s="299"/>
      <c r="HSM37" s="299"/>
      <c r="HSN37" s="299"/>
      <c r="HSO37" s="299"/>
      <c r="HSP37" s="299"/>
      <c r="HSQ37" s="299"/>
      <c r="HSR37" s="299"/>
      <c r="HSS37" s="299"/>
      <c r="HST37" s="299"/>
      <c r="HSU37" s="299"/>
      <c r="HSV37" s="299"/>
      <c r="HSW37" s="299"/>
      <c r="HSX37" s="299"/>
      <c r="HSY37" s="299"/>
      <c r="HSZ37" s="299"/>
      <c r="HTA37" s="299"/>
      <c r="HTB37" s="299"/>
      <c r="HTC37" s="299"/>
      <c r="HTD37" s="299"/>
      <c r="HTE37" s="299"/>
      <c r="HTF37" s="299"/>
      <c r="HTG37" s="299"/>
      <c r="HTH37" s="299"/>
      <c r="HTI37" s="299"/>
      <c r="HTJ37" s="299"/>
      <c r="HTK37" s="299"/>
      <c r="HTL37" s="299"/>
      <c r="HTM37" s="299"/>
      <c r="HTN37" s="299"/>
      <c r="HTO37" s="299"/>
      <c r="HTP37" s="299"/>
      <c r="HTQ37" s="299"/>
      <c r="HTR37" s="299"/>
      <c r="HTS37" s="299"/>
      <c r="HTT37" s="299"/>
      <c r="HTU37" s="299"/>
      <c r="HTV37" s="299"/>
      <c r="HTW37" s="299"/>
      <c r="HTX37" s="299"/>
      <c r="HTY37" s="299"/>
      <c r="HTZ37" s="299"/>
      <c r="HUA37" s="299"/>
      <c r="HUB37" s="299"/>
      <c r="HUC37" s="299"/>
      <c r="HUD37" s="299"/>
      <c r="HUE37" s="299"/>
      <c r="HUF37" s="299"/>
      <c r="HUG37" s="299"/>
      <c r="HUH37" s="299"/>
      <c r="HUI37" s="299"/>
      <c r="HUJ37" s="299"/>
      <c r="HUK37" s="299"/>
      <c r="HUL37" s="299"/>
      <c r="HUM37" s="299"/>
      <c r="HUN37" s="299"/>
      <c r="HUO37" s="299"/>
      <c r="HUP37" s="299"/>
      <c r="HUQ37" s="299"/>
      <c r="HUR37" s="299"/>
      <c r="HUS37" s="299"/>
      <c r="HUT37" s="299"/>
      <c r="HUU37" s="299"/>
      <c r="HUV37" s="299"/>
      <c r="HUW37" s="299"/>
      <c r="HUX37" s="299"/>
      <c r="HUY37" s="299"/>
      <c r="HUZ37" s="299"/>
      <c r="HVA37" s="299"/>
      <c r="HVB37" s="299"/>
      <c r="HVC37" s="299"/>
      <c r="HVD37" s="299"/>
      <c r="HVE37" s="299"/>
      <c r="HVF37" s="299"/>
      <c r="HVG37" s="299"/>
      <c r="HVH37" s="299"/>
      <c r="HVI37" s="299"/>
      <c r="HVJ37" s="299"/>
      <c r="HVK37" s="299"/>
      <c r="HVL37" s="299"/>
      <c r="HVM37" s="299"/>
      <c r="HVN37" s="299"/>
      <c r="HVO37" s="299"/>
      <c r="HVP37" s="299"/>
      <c r="HVQ37" s="299"/>
      <c r="HVR37" s="299"/>
      <c r="HVS37" s="299"/>
      <c r="HVT37" s="299"/>
      <c r="HVU37" s="299"/>
      <c r="HVV37" s="299"/>
      <c r="HVW37" s="299"/>
      <c r="HVX37" s="299"/>
      <c r="HVY37" s="299"/>
      <c r="HVZ37" s="299"/>
      <c r="HWA37" s="299"/>
      <c r="HWB37" s="299"/>
      <c r="HWC37" s="299"/>
      <c r="HWD37" s="299"/>
      <c r="HWE37" s="299"/>
      <c r="HWF37" s="299"/>
      <c r="HWG37" s="299"/>
      <c r="HWH37" s="299"/>
      <c r="HWI37" s="299"/>
      <c r="HWJ37" s="299"/>
      <c r="HWK37" s="299"/>
      <c r="HWL37" s="299"/>
      <c r="HWM37" s="299"/>
      <c r="HWN37" s="299"/>
      <c r="HWO37" s="299"/>
      <c r="HWP37" s="299"/>
      <c r="HWQ37" s="299"/>
      <c r="HWR37" s="299"/>
      <c r="HWS37" s="299"/>
      <c r="HWT37" s="299"/>
      <c r="HWU37" s="299"/>
      <c r="HWV37" s="299"/>
      <c r="HWW37" s="299"/>
      <c r="HWX37" s="299"/>
      <c r="HWY37" s="299"/>
      <c r="HWZ37" s="299"/>
      <c r="HXA37" s="299"/>
      <c r="HXB37" s="299"/>
      <c r="HXC37" s="299"/>
      <c r="HXD37" s="299"/>
      <c r="HXE37" s="299"/>
      <c r="HXF37" s="299"/>
      <c r="HXG37" s="299"/>
      <c r="HXH37" s="299"/>
      <c r="HXI37" s="299"/>
      <c r="HXJ37" s="299"/>
      <c r="HXK37" s="299"/>
      <c r="HXL37" s="299"/>
      <c r="HXM37" s="299"/>
      <c r="HXN37" s="299"/>
      <c r="HXO37" s="299"/>
      <c r="HXP37" s="299"/>
      <c r="HXQ37" s="299"/>
      <c r="HXR37" s="299"/>
      <c r="HXS37" s="299"/>
      <c r="HXT37" s="299"/>
      <c r="HXU37" s="299"/>
      <c r="HXV37" s="299"/>
      <c r="HXW37" s="299"/>
      <c r="HXX37" s="299"/>
      <c r="HXY37" s="299"/>
      <c r="HXZ37" s="299"/>
      <c r="HYA37" s="299"/>
      <c r="HYB37" s="299"/>
      <c r="HYC37" s="299"/>
      <c r="HYD37" s="299"/>
      <c r="HYE37" s="299"/>
      <c r="HYF37" s="299"/>
      <c r="HYG37" s="299"/>
      <c r="HYH37" s="299"/>
      <c r="HYI37" s="299"/>
      <c r="HYJ37" s="299"/>
      <c r="HYK37" s="299"/>
      <c r="HYL37" s="299"/>
      <c r="HYM37" s="299"/>
      <c r="HYN37" s="299"/>
      <c r="HYO37" s="299"/>
      <c r="HYP37" s="299"/>
      <c r="HYQ37" s="299"/>
      <c r="HYR37" s="299"/>
      <c r="HYS37" s="299"/>
      <c r="HYT37" s="299"/>
      <c r="HYU37" s="299"/>
      <c r="HYV37" s="299"/>
      <c r="HYW37" s="299"/>
      <c r="HYX37" s="299"/>
      <c r="HYY37" s="299"/>
      <c r="HYZ37" s="299"/>
      <c r="HZA37" s="299"/>
      <c r="HZB37" s="299"/>
      <c r="HZC37" s="299"/>
      <c r="HZD37" s="299"/>
      <c r="HZE37" s="299"/>
      <c r="HZF37" s="299"/>
      <c r="HZG37" s="299"/>
      <c r="HZH37" s="299"/>
      <c r="HZI37" s="299"/>
      <c r="HZJ37" s="299"/>
      <c r="HZK37" s="299"/>
      <c r="HZL37" s="299"/>
      <c r="HZM37" s="299"/>
      <c r="HZN37" s="299"/>
      <c r="HZO37" s="299"/>
      <c r="HZP37" s="299"/>
      <c r="HZQ37" s="299"/>
      <c r="HZR37" s="299"/>
      <c r="HZS37" s="299"/>
      <c r="HZT37" s="299"/>
      <c r="HZU37" s="299"/>
      <c r="HZV37" s="299"/>
      <c r="HZW37" s="299"/>
      <c r="HZX37" s="299"/>
      <c r="HZY37" s="299"/>
      <c r="HZZ37" s="299"/>
      <c r="IAA37" s="299"/>
      <c r="IAB37" s="299"/>
      <c r="IAC37" s="299"/>
      <c r="IAD37" s="299"/>
      <c r="IAE37" s="299"/>
      <c r="IAF37" s="299"/>
      <c r="IAG37" s="299"/>
      <c r="IAH37" s="299"/>
      <c r="IAI37" s="299"/>
      <c r="IAJ37" s="299"/>
      <c r="IAK37" s="299"/>
      <c r="IAL37" s="299"/>
      <c r="IAM37" s="299"/>
      <c r="IAN37" s="299"/>
      <c r="IAO37" s="299"/>
      <c r="IAP37" s="299"/>
      <c r="IAQ37" s="299"/>
      <c r="IAR37" s="299"/>
      <c r="IAS37" s="299"/>
      <c r="IAT37" s="299"/>
      <c r="IAU37" s="299"/>
      <c r="IAV37" s="299"/>
      <c r="IAW37" s="299"/>
      <c r="IAX37" s="299"/>
      <c r="IAY37" s="299"/>
      <c r="IAZ37" s="299"/>
      <c r="IBA37" s="299"/>
      <c r="IBB37" s="299"/>
      <c r="IBC37" s="299"/>
      <c r="IBD37" s="299"/>
      <c r="IBE37" s="299"/>
      <c r="IBF37" s="299"/>
      <c r="IBG37" s="299"/>
      <c r="IBH37" s="299"/>
      <c r="IBI37" s="299"/>
      <c r="IBJ37" s="299"/>
      <c r="IBK37" s="299"/>
      <c r="IBL37" s="299"/>
      <c r="IBM37" s="299"/>
      <c r="IBN37" s="299"/>
      <c r="IBO37" s="299"/>
      <c r="IBP37" s="299"/>
      <c r="IBQ37" s="299"/>
      <c r="IBR37" s="299"/>
      <c r="IBS37" s="299"/>
      <c r="IBT37" s="299"/>
      <c r="IBU37" s="299"/>
      <c r="IBV37" s="299"/>
      <c r="IBW37" s="299"/>
      <c r="IBX37" s="299"/>
      <c r="IBY37" s="299"/>
      <c r="IBZ37" s="299"/>
      <c r="ICA37" s="299"/>
      <c r="ICB37" s="299"/>
      <c r="ICC37" s="299"/>
      <c r="ICD37" s="299"/>
      <c r="ICE37" s="299"/>
      <c r="ICF37" s="299"/>
      <c r="ICG37" s="299"/>
      <c r="ICH37" s="299"/>
      <c r="ICI37" s="299"/>
      <c r="ICJ37" s="299"/>
      <c r="ICK37" s="299"/>
      <c r="ICL37" s="299"/>
      <c r="ICM37" s="299"/>
      <c r="ICN37" s="299"/>
      <c r="ICO37" s="299"/>
      <c r="ICP37" s="299"/>
      <c r="ICQ37" s="299"/>
      <c r="ICR37" s="299"/>
      <c r="ICS37" s="299"/>
      <c r="ICT37" s="299"/>
      <c r="ICU37" s="299"/>
      <c r="ICV37" s="299"/>
      <c r="ICW37" s="299"/>
      <c r="ICX37" s="299"/>
      <c r="ICY37" s="299"/>
      <c r="ICZ37" s="299"/>
      <c r="IDA37" s="299"/>
      <c r="IDB37" s="299"/>
      <c r="IDC37" s="299"/>
      <c r="IDD37" s="299"/>
      <c r="IDE37" s="299"/>
      <c r="IDF37" s="299"/>
      <c r="IDG37" s="299"/>
      <c r="IDH37" s="299"/>
      <c r="IDI37" s="299"/>
      <c r="IDJ37" s="299"/>
      <c r="IDK37" s="299"/>
      <c r="IDL37" s="299"/>
      <c r="IDM37" s="299"/>
      <c r="IDN37" s="299"/>
      <c r="IDO37" s="299"/>
      <c r="IDP37" s="299"/>
      <c r="IDQ37" s="299"/>
      <c r="IDR37" s="299"/>
      <c r="IDS37" s="299"/>
      <c r="IDT37" s="299"/>
      <c r="IDU37" s="299"/>
      <c r="IDV37" s="299"/>
      <c r="IDW37" s="299"/>
      <c r="IDX37" s="299"/>
      <c r="IDY37" s="299"/>
      <c r="IDZ37" s="299"/>
      <c r="IEA37" s="299"/>
      <c r="IEB37" s="299"/>
      <c r="IEC37" s="299"/>
      <c r="IED37" s="299"/>
      <c r="IEE37" s="299"/>
      <c r="IEF37" s="299"/>
      <c r="IEG37" s="299"/>
      <c r="IEH37" s="299"/>
      <c r="IEI37" s="299"/>
      <c r="IEJ37" s="299"/>
      <c r="IEK37" s="299"/>
      <c r="IEL37" s="299"/>
      <c r="IEM37" s="299"/>
      <c r="IEN37" s="299"/>
      <c r="IEO37" s="299"/>
      <c r="IEP37" s="299"/>
      <c r="IEQ37" s="299"/>
      <c r="IER37" s="299"/>
      <c r="IES37" s="299"/>
      <c r="IET37" s="299"/>
      <c r="IEU37" s="299"/>
      <c r="IEV37" s="299"/>
      <c r="IEW37" s="299"/>
      <c r="IEX37" s="299"/>
      <c r="IEY37" s="299"/>
      <c r="IEZ37" s="299"/>
      <c r="IFA37" s="299"/>
      <c r="IFB37" s="299"/>
      <c r="IFC37" s="299"/>
      <c r="IFD37" s="299"/>
      <c r="IFE37" s="299"/>
      <c r="IFF37" s="299"/>
      <c r="IFG37" s="299"/>
      <c r="IFH37" s="299"/>
      <c r="IFI37" s="299"/>
      <c r="IFJ37" s="299"/>
      <c r="IFK37" s="299"/>
      <c r="IFL37" s="299"/>
      <c r="IFM37" s="299"/>
      <c r="IFN37" s="299"/>
      <c r="IFO37" s="299"/>
      <c r="IFP37" s="299"/>
      <c r="IFQ37" s="299"/>
      <c r="IFR37" s="299"/>
      <c r="IFS37" s="299"/>
      <c r="IFT37" s="299"/>
      <c r="IFU37" s="299"/>
      <c r="IFV37" s="299"/>
      <c r="IFW37" s="299"/>
      <c r="IFX37" s="299"/>
      <c r="IFY37" s="299"/>
      <c r="IFZ37" s="299"/>
      <c r="IGA37" s="299"/>
      <c r="IGB37" s="299"/>
      <c r="IGC37" s="299"/>
      <c r="IGD37" s="299"/>
      <c r="IGE37" s="299"/>
      <c r="IGF37" s="299"/>
      <c r="IGG37" s="299"/>
      <c r="IGH37" s="299"/>
      <c r="IGI37" s="299"/>
      <c r="IGJ37" s="299"/>
      <c r="IGK37" s="299"/>
      <c r="IGL37" s="299"/>
      <c r="IGM37" s="299"/>
      <c r="IGN37" s="299"/>
      <c r="IGO37" s="299"/>
      <c r="IGP37" s="299"/>
      <c r="IGQ37" s="299"/>
      <c r="IGR37" s="299"/>
      <c r="IGS37" s="299"/>
      <c r="IGT37" s="299"/>
      <c r="IGU37" s="299"/>
      <c r="IGV37" s="299"/>
      <c r="IGW37" s="299"/>
      <c r="IGX37" s="299"/>
      <c r="IGY37" s="299"/>
      <c r="IGZ37" s="299"/>
      <c r="IHA37" s="299"/>
      <c r="IHB37" s="299"/>
      <c r="IHC37" s="299"/>
      <c r="IHD37" s="299"/>
      <c r="IHE37" s="299"/>
      <c r="IHF37" s="299"/>
      <c r="IHG37" s="299"/>
      <c r="IHH37" s="299"/>
      <c r="IHI37" s="299"/>
      <c r="IHJ37" s="299"/>
      <c r="IHK37" s="299"/>
      <c r="IHL37" s="299"/>
      <c r="IHM37" s="299"/>
      <c r="IHN37" s="299"/>
      <c r="IHO37" s="299"/>
      <c r="IHP37" s="299"/>
      <c r="IHQ37" s="299"/>
      <c r="IHR37" s="299"/>
      <c r="IHS37" s="299"/>
      <c r="IHT37" s="299"/>
      <c r="IHU37" s="299"/>
      <c r="IHV37" s="299"/>
      <c r="IHW37" s="299"/>
      <c r="IHX37" s="299"/>
      <c r="IHY37" s="299"/>
      <c r="IHZ37" s="299"/>
      <c r="IIA37" s="299"/>
      <c r="IIB37" s="299"/>
      <c r="IIC37" s="299"/>
      <c r="IID37" s="299"/>
      <c r="IIE37" s="299"/>
      <c r="IIF37" s="299"/>
      <c r="IIG37" s="299"/>
      <c r="IIH37" s="299"/>
      <c r="III37" s="299"/>
      <c r="IIJ37" s="299"/>
      <c r="IIK37" s="299"/>
      <c r="IIL37" s="299"/>
      <c r="IIM37" s="299"/>
      <c r="IIN37" s="299"/>
      <c r="IIO37" s="299"/>
      <c r="IIP37" s="299"/>
      <c r="IIQ37" s="299"/>
      <c r="IIR37" s="299"/>
      <c r="IIS37" s="299"/>
      <c r="IIT37" s="299"/>
      <c r="IIU37" s="299"/>
      <c r="IIV37" s="299"/>
      <c r="IIW37" s="299"/>
      <c r="IIX37" s="299"/>
      <c r="IIY37" s="299"/>
      <c r="IIZ37" s="299"/>
      <c r="IJA37" s="299"/>
      <c r="IJB37" s="299"/>
      <c r="IJC37" s="299"/>
      <c r="IJD37" s="299"/>
      <c r="IJE37" s="299"/>
      <c r="IJF37" s="299"/>
      <c r="IJG37" s="299"/>
      <c r="IJH37" s="299"/>
      <c r="IJI37" s="299"/>
      <c r="IJJ37" s="299"/>
      <c r="IJK37" s="299"/>
      <c r="IJL37" s="299"/>
      <c r="IJM37" s="299"/>
      <c r="IJN37" s="299"/>
      <c r="IJO37" s="299"/>
      <c r="IJP37" s="299"/>
      <c r="IJQ37" s="299"/>
      <c r="IJR37" s="299"/>
      <c r="IJS37" s="299"/>
      <c r="IJT37" s="299"/>
      <c r="IJU37" s="299"/>
      <c r="IJV37" s="299"/>
      <c r="IJW37" s="299"/>
      <c r="IJX37" s="299"/>
      <c r="IJY37" s="299"/>
      <c r="IJZ37" s="299"/>
      <c r="IKA37" s="299"/>
      <c r="IKB37" s="299"/>
      <c r="IKC37" s="299"/>
      <c r="IKD37" s="299"/>
      <c r="IKE37" s="299"/>
      <c r="IKF37" s="299"/>
      <c r="IKG37" s="299"/>
      <c r="IKH37" s="299"/>
      <c r="IKI37" s="299"/>
      <c r="IKJ37" s="299"/>
      <c r="IKK37" s="299"/>
      <c r="IKL37" s="299"/>
      <c r="IKM37" s="299"/>
      <c r="IKN37" s="299"/>
      <c r="IKO37" s="299"/>
      <c r="IKP37" s="299"/>
      <c r="IKQ37" s="299"/>
      <c r="IKR37" s="299"/>
      <c r="IKS37" s="299"/>
      <c r="IKT37" s="299"/>
      <c r="IKU37" s="299"/>
      <c r="IKV37" s="299"/>
      <c r="IKW37" s="299"/>
      <c r="IKX37" s="299"/>
      <c r="IKY37" s="299"/>
      <c r="IKZ37" s="299"/>
      <c r="ILA37" s="299"/>
      <c r="ILB37" s="299"/>
      <c r="ILC37" s="299"/>
      <c r="ILD37" s="299"/>
      <c r="ILE37" s="299"/>
      <c r="ILF37" s="299"/>
      <c r="ILG37" s="299"/>
      <c r="ILH37" s="299"/>
      <c r="ILI37" s="299"/>
      <c r="ILJ37" s="299"/>
      <c r="ILK37" s="299"/>
      <c r="ILL37" s="299"/>
      <c r="ILM37" s="299"/>
      <c r="ILN37" s="299"/>
      <c r="ILO37" s="299"/>
      <c r="ILP37" s="299"/>
      <c r="ILQ37" s="299"/>
      <c r="ILR37" s="299"/>
      <c r="ILS37" s="299"/>
      <c r="ILT37" s="299"/>
      <c r="ILU37" s="299"/>
      <c r="ILV37" s="299"/>
      <c r="ILW37" s="299"/>
      <c r="ILX37" s="299"/>
      <c r="ILY37" s="299"/>
      <c r="ILZ37" s="299"/>
      <c r="IMA37" s="299"/>
      <c r="IMB37" s="299"/>
      <c r="IMC37" s="299"/>
      <c r="IMD37" s="299"/>
      <c r="IME37" s="299"/>
      <c r="IMF37" s="299"/>
      <c r="IMG37" s="299"/>
      <c r="IMH37" s="299"/>
      <c r="IMI37" s="299"/>
      <c r="IMJ37" s="299"/>
      <c r="IMK37" s="299"/>
      <c r="IML37" s="299"/>
      <c r="IMM37" s="299"/>
      <c r="IMN37" s="299"/>
      <c r="IMO37" s="299"/>
      <c r="IMP37" s="299"/>
      <c r="IMQ37" s="299"/>
      <c r="IMR37" s="299"/>
      <c r="IMS37" s="299"/>
      <c r="IMT37" s="299"/>
      <c r="IMU37" s="299"/>
      <c r="IMV37" s="299"/>
      <c r="IMW37" s="299"/>
      <c r="IMX37" s="299"/>
      <c r="IMY37" s="299"/>
      <c r="IMZ37" s="299"/>
      <c r="INA37" s="299"/>
      <c r="INB37" s="299"/>
      <c r="INC37" s="299"/>
      <c r="IND37" s="299"/>
      <c r="INE37" s="299"/>
      <c r="INF37" s="299"/>
      <c r="ING37" s="299"/>
      <c r="INH37" s="299"/>
      <c r="INI37" s="299"/>
      <c r="INJ37" s="299"/>
      <c r="INK37" s="299"/>
      <c r="INL37" s="299"/>
      <c r="INM37" s="299"/>
      <c r="INN37" s="299"/>
      <c r="INO37" s="299"/>
      <c r="INP37" s="299"/>
      <c r="INQ37" s="299"/>
      <c r="INR37" s="299"/>
      <c r="INS37" s="299"/>
      <c r="INT37" s="299"/>
      <c r="INU37" s="299"/>
      <c r="INV37" s="299"/>
      <c r="INW37" s="299"/>
      <c r="INX37" s="299"/>
      <c r="INY37" s="299"/>
      <c r="INZ37" s="299"/>
      <c r="IOA37" s="299"/>
      <c r="IOB37" s="299"/>
      <c r="IOC37" s="299"/>
      <c r="IOD37" s="299"/>
      <c r="IOE37" s="299"/>
      <c r="IOF37" s="299"/>
      <c r="IOG37" s="299"/>
      <c r="IOH37" s="299"/>
      <c r="IOI37" s="299"/>
      <c r="IOJ37" s="299"/>
      <c r="IOK37" s="299"/>
      <c r="IOL37" s="299"/>
      <c r="IOM37" s="299"/>
      <c r="ION37" s="299"/>
      <c r="IOO37" s="299"/>
      <c r="IOP37" s="299"/>
      <c r="IOQ37" s="299"/>
      <c r="IOR37" s="299"/>
      <c r="IOS37" s="299"/>
      <c r="IOT37" s="299"/>
      <c r="IOU37" s="299"/>
      <c r="IOV37" s="299"/>
      <c r="IOW37" s="299"/>
      <c r="IOX37" s="299"/>
      <c r="IOY37" s="299"/>
      <c r="IOZ37" s="299"/>
      <c r="IPA37" s="299"/>
      <c r="IPB37" s="299"/>
      <c r="IPC37" s="299"/>
      <c r="IPD37" s="299"/>
      <c r="IPE37" s="299"/>
      <c r="IPF37" s="299"/>
      <c r="IPG37" s="299"/>
      <c r="IPH37" s="299"/>
      <c r="IPI37" s="299"/>
      <c r="IPJ37" s="299"/>
      <c r="IPK37" s="299"/>
      <c r="IPL37" s="299"/>
      <c r="IPM37" s="299"/>
      <c r="IPN37" s="299"/>
      <c r="IPO37" s="299"/>
      <c r="IPP37" s="299"/>
      <c r="IPQ37" s="299"/>
      <c r="IPR37" s="299"/>
      <c r="IPS37" s="299"/>
      <c r="IPT37" s="299"/>
      <c r="IPU37" s="299"/>
      <c r="IPV37" s="299"/>
      <c r="IPW37" s="299"/>
      <c r="IPX37" s="299"/>
      <c r="IPY37" s="299"/>
      <c r="IPZ37" s="299"/>
      <c r="IQA37" s="299"/>
      <c r="IQB37" s="299"/>
      <c r="IQC37" s="299"/>
      <c r="IQD37" s="299"/>
      <c r="IQE37" s="299"/>
      <c r="IQF37" s="299"/>
      <c r="IQG37" s="299"/>
      <c r="IQH37" s="299"/>
      <c r="IQI37" s="299"/>
      <c r="IQJ37" s="299"/>
      <c r="IQK37" s="299"/>
      <c r="IQL37" s="299"/>
      <c r="IQM37" s="299"/>
      <c r="IQN37" s="299"/>
      <c r="IQO37" s="299"/>
      <c r="IQP37" s="299"/>
      <c r="IQQ37" s="299"/>
      <c r="IQR37" s="299"/>
      <c r="IQS37" s="299"/>
      <c r="IQT37" s="299"/>
      <c r="IQU37" s="299"/>
      <c r="IQV37" s="299"/>
      <c r="IQW37" s="299"/>
      <c r="IQX37" s="299"/>
      <c r="IQY37" s="299"/>
      <c r="IQZ37" s="299"/>
      <c r="IRA37" s="299"/>
      <c r="IRB37" s="299"/>
      <c r="IRC37" s="299"/>
      <c r="IRD37" s="299"/>
      <c r="IRE37" s="299"/>
      <c r="IRF37" s="299"/>
      <c r="IRG37" s="299"/>
      <c r="IRH37" s="299"/>
      <c r="IRI37" s="299"/>
      <c r="IRJ37" s="299"/>
      <c r="IRK37" s="299"/>
      <c r="IRL37" s="299"/>
      <c r="IRM37" s="299"/>
      <c r="IRN37" s="299"/>
      <c r="IRO37" s="299"/>
      <c r="IRP37" s="299"/>
      <c r="IRQ37" s="299"/>
      <c r="IRR37" s="299"/>
      <c r="IRS37" s="299"/>
      <c r="IRT37" s="299"/>
      <c r="IRU37" s="299"/>
      <c r="IRV37" s="299"/>
      <c r="IRW37" s="299"/>
      <c r="IRX37" s="299"/>
      <c r="IRY37" s="299"/>
      <c r="IRZ37" s="299"/>
      <c r="ISA37" s="299"/>
      <c r="ISB37" s="299"/>
      <c r="ISC37" s="299"/>
      <c r="ISD37" s="299"/>
      <c r="ISE37" s="299"/>
      <c r="ISF37" s="299"/>
      <c r="ISG37" s="299"/>
      <c r="ISH37" s="299"/>
      <c r="ISI37" s="299"/>
      <c r="ISJ37" s="299"/>
      <c r="ISK37" s="299"/>
      <c r="ISL37" s="299"/>
      <c r="ISM37" s="299"/>
      <c r="ISN37" s="299"/>
      <c r="ISO37" s="299"/>
      <c r="ISP37" s="299"/>
      <c r="ISQ37" s="299"/>
      <c r="ISR37" s="299"/>
      <c r="ISS37" s="299"/>
      <c r="IST37" s="299"/>
      <c r="ISU37" s="299"/>
      <c r="ISV37" s="299"/>
      <c r="ISW37" s="299"/>
      <c r="ISX37" s="299"/>
      <c r="ISY37" s="299"/>
      <c r="ISZ37" s="299"/>
      <c r="ITA37" s="299"/>
      <c r="ITB37" s="299"/>
      <c r="ITC37" s="299"/>
      <c r="ITD37" s="299"/>
      <c r="ITE37" s="299"/>
      <c r="ITF37" s="299"/>
      <c r="ITG37" s="299"/>
      <c r="ITH37" s="299"/>
      <c r="ITI37" s="299"/>
      <c r="ITJ37" s="299"/>
      <c r="ITK37" s="299"/>
      <c r="ITL37" s="299"/>
      <c r="ITM37" s="299"/>
      <c r="ITN37" s="299"/>
      <c r="ITO37" s="299"/>
      <c r="ITP37" s="299"/>
      <c r="ITQ37" s="299"/>
      <c r="ITR37" s="299"/>
      <c r="ITS37" s="299"/>
      <c r="ITT37" s="299"/>
      <c r="ITU37" s="299"/>
      <c r="ITV37" s="299"/>
      <c r="ITW37" s="299"/>
      <c r="ITX37" s="299"/>
      <c r="ITY37" s="299"/>
      <c r="ITZ37" s="299"/>
      <c r="IUA37" s="299"/>
      <c r="IUB37" s="299"/>
      <c r="IUC37" s="299"/>
      <c r="IUD37" s="299"/>
      <c r="IUE37" s="299"/>
      <c r="IUF37" s="299"/>
      <c r="IUG37" s="299"/>
      <c r="IUH37" s="299"/>
      <c r="IUI37" s="299"/>
      <c r="IUJ37" s="299"/>
      <c r="IUK37" s="299"/>
      <c r="IUL37" s="299"/>
      <c r="IUM37" s="299"/>
      <c r="IUN37" s="299"/>
      <c r="IUO37" s="299"/>
      <c r="IUP37" s="299"/>
      <c r="IUQ37" s="299"/>
      <c r="IUR37" s="299"/>
      <c r="IUS37" s="299"/>
      <c r="IUT37" s="299"/>
      <c r="IUU37" s="299"/>
      <c r="IUV37" s="299"/>
      <c r="IUW37" s="299"/>
      <c r="IUX37" s="299"/>
      <c r="IUY37" s="299"/>
      <c r="IUZ37" s="299"/>
      <c r="IVA37" s="299"/>
      <c r="IVB37" s="299"/>
      <c r="IVC37" s="299"/>
      <c r="IVD37" s="299"/>
      <c r="IVE37" s="299"/>
      <c r="IVF37" s="299"/>
      <c r="IVG37" s="299"/>
      <c r="IVH37" s="299"/>
      <c r="IVI37" s="299"/>
      <c r="IVJ37" s="299"/>
      <c r="IVK37" s="299"/>
      <c r="IVL37" s="299"/>
      <c r="IVM37" s="299"/>
      <c r="IVN37" s="299"/>
      <c r="IVO37" s="299"/>
      <c r="IVP37" s="299"/>
      <c r="IVQ37" s="299"/>
      <c r="IVR37" s="299"/>
      <c r="IVS37" s="299"/>
      <c r="IVT37" s="299"/>
      <c r="IVU37" s="299"/>
      <c r="IVV37" s="299"/>
      <c r="IVW37" s="299"/>
      <c r="IVX37" s="299"/>
      <c r="IVY37" s="299"/>
      <c r="IVZ37" s="299"/>
      <c r="IWA37" s="299"/>
      <c r="IWB37" s="299"/>
      <c r="IWC37" s="299"/>
      <c r="IWD37" s="299"/>
      <c r="IWE37" s="299"/>
      <c r="IWF37" s="299"/>
      <c r="IWG37" s="299"/>
      <c r="IWH37" s="299"/>
      <c r="IWI37" s="299"/>
      <c r="IWJ37" s="299"/>
      <c r="IWK37" s="299"/>
      <c r="IWL37" s="299"/>
      <c r="IWM37" s="299"/>
      <c r="IWN37" s="299"/>
      <c r="IWO37" s="299"/>
      <c r="IWP37" s="299"/>
      <c r="IWQ37" s="299"/>
      <c r="IWR37" s="299"/>
      <c r="IWS37" s="299"/>
      <c r="IWT37" s="299"/>
      <c r="IWU37" s="299"/>
      <c r="IWV37" s="299"/>
      <c r="IWW37" s="299"/>
      <c r="IWX37" s="299"/>
      <c r="IWY37" s="299"/>
      <c r="IWZ37" s="299"/>
      <c r="IXA37" s="299"/>
      <c r="IXB37" s="299"/>
      <c r="IXC37" s="299"/>
      <c r="IXD37" s="299"/>
      <c r="IXE37" s="299"/>
      <c r="IXF37" s="299"/>
      <c r="IXG37" s="299"/>
      <c r="IXH37" s="299"/>
      <c r="IXI37" s="299"/>
      <c r="IXJ37" s="299"/>
      <c r="IXK37" s="299"/>
      <c r="IXL37" s="299"/>
      <c r="IXM37" s="299"/>
      <c r="IXN37" s="299"/>
      <c r="IXO37" s="299"/>
      <c r="IXP37" s="299"/>
      <c r="IXQ37" s="299"/>
      <c r="IXR37" s="299"/>
      <c r="IXS37" s="299"/>
      <c r="IXT37" s="299"/>
      <c r="IXU37" s="299"/>
      <c r="IXV37" s="299"/>
      <c r="IXW37" s="299"/>
      <c r="IXX37" s="299"/>
      <c r="IXY37" s="299"/>
      <c r="IXZ37" s="299"/>
      <c r="IYA37" s="299"/>
      <c r="IYB37" s="299"/>
      <c r="IYC37" s="299"/>
      <c r="IYD37" s="299"/>
      <c r="IYE37" s="299"/>
      <c r="IYF37" s="299"/>
      <c r="IYG37" s="299"/>
      <c r="IYH37" s="299"/>
      <c r="IYI37" s="299"/>
      <c r="IYJ37" s="299"/>
      <c r="IYK37" s="299"/>
      <c r="IYL37" s="299"/>
      <c r="IYM37" s="299"/>
      <c r="IYN37" s="299"/>
      <c r="IYO37" s="299"/>
      <c r="IYP37" s="299"/>
      <c r="IYQ37" s="299"/>
      <c r="IYR37" s="299"/>
      <c r="IYS37" s="299"/>
      <c r="IYT37" s="299"/>
      <c r="IYU37" s="299"/>
      <c r="IYV37" s="299"/>
      <c r="IYW37" s="299"/>
      <c r="IYX37" s="299"/>
      <c r="IYY37" s="299"/>
      <c r="IYZ37" s="299"/>
      <c r="IZA37" s="299"/>
      <c r="IZB37" s="299"/>
      <c r="IZC37" s="299"/>
      <c r="IZD37" s="299"/>
      <c r="IZE37" s="299"/>
      <c r="IZF37" s="299"/>
      <c r="IZG37" s="299"/>
      <c r="IZH37" s="299"/>
      <c r="IZI37" s="299"/>
      <c r="IZJ37" s="299"/>
      <c r="IZK37" s="299"/>
      <c r="IZL37" s="299"/>
      <c r="IZM37" s="299"/>
      <c r="IZN37" s="299"/>
      <c r="IZO37" s="299"/>
      <c r="IZP37" s="299"/>
      <c r="IZQ37" s="299"/>
      <c r="IZR37" s="299"/>
      <c r="IZS37" s="299"/>
      <c r="IZT37" s="299"/>
      <c r="IZU37" s="299"/>
      <c r="IZV37" s="299"/>
      <c r="IZW37" s="299"/>
      <c r="IZX37" s="299"/>
      <c r="IZY37" s="299"/>
      <c r="IZZ37" s="299"/>
      <c r="JAA37" s="299"/>
      <c r="JAB37" s="299"/>
      <c r="JAC37" s="299"/>
      <c r="JAD37" s="299"/>
      <c r="JAE37" s="299"/>
      <c r="JAF37" s="299"/>
      <c r="JAG37" s="299"/>
      <c r="JAH37" s="299"/>
      <c r="JAI37" s="299"/>
      <c r="JAJ37" s="299"/>
      <c r="JAK37" s="299"/>
      <c r="JAL37" s="299"/>
      <c r="JAM37" s="299"/>
      <c r="JAN37" s="299"/>
      <c r="JAO37" s="299"/>
      <c r="JAP37" s="299"/>
      <c r="JAQ37" s="299"/>
      <c r="JAR37" s="299"/>
      <c r="JAS37" s="299"/>
      <c r="JAT37" s="299"/>
      <c r="JAU37" s="299"/>
      <c r="JAV37" s="299"/>
      <c r="JAW37" s="299"/>
      <c r="JAX37" s="299"/>
      <c r="JAY37" s="299"/>
      <c r="JAZ37" s="299"/>
      <c r="JBA37" s="299"/>
      <c r="JBB37" s="299"/>
      <c r="JBC37" s="299"/>
      <c r="JBD37" s="299"/>
      <c r="JBE37" s="299"/>
      <c r="JBF37" s="299"/>
      <c r="JBG37" s="299"/>
      <c r="JBH37" s="299"/>
      <c r="JBI37" s="299"/>
      <c r="JBJ37" s="299"/>
      <c r="JBK37" s="299"/>
      <c r="JBL37" s="299"/>
      <c r="JBM37" s="299"/>
      <c r="JBN37" s="299"/>
      <c r="JBO37" s="299"/>
      <c r="JBP37" s="299"/>
      <c r="JBQ37" s="299"/>
      <c r="JBR37" s="299"/>
      <c r="JBS37" s="299"/>
      <c r="JBT37" s="299"/>
      <c r="JBU37" s="299"/>
      <c r="JBV37" s="299"/>
      <c r="JBW37" s="299"/>
      <c r="JBX37" s="299"/>
      <c r="JBY37" s="299"/>
      <c r="JBZ37" s="299"/>
      <c r="JCA37" s="299"/>
      <c r="JCB37" s="299"/>
      <c r="JCC37" s="299"/>
      <c r="JCD37" s="299"/>
      <c r="JCE37" s="299"/>
      <c r="JCF37" s="299"/>
      <c r="JCG37" s="299"/>
      <c r="JCH37" s="299"/>
      <c r="JCI37" s="299"/>
      <c r="JCJ37" s="299"/>
      <c r="JCK37" s="299"/>
      <c r="JCL37" s="299"/>
      <c r="JCM37" s="299"/>
      <c r="JCN37" s="299"/>
      <c r="JCO37" s="299"/>
      <c r="JCP37" s="299"/>
      <c r="JCQ37" s="299"/>
      <c r="JCR37" s="299"/>
      <c r="JCS37" s="299"/>
      <c r="JCT37" s="299"/>
      <c r="JCU37" s="299"/>
      <c r="JCV37" s="299"/>
      <c r="JCW37" s="299"/>
      <c r="JCX37" s="299"/>
      <c r="JCY37" s="299"/>
      <c r="JCZ37" s="299"/>
      <c r="JDA37" s="299"/>
      <c r="JDB37" s="299"/>
      <c r="JDC37" s="299"/>
      <c r="JDD37" s="299"/>
      <c r="JDE37" s="299"/>
      <c r="JDF37" s="299"/>
      <c r="JDG37" s="299"/>
      <c r="JDH37" s="299"/>
      <c r="JDI37" s="299"/>
      <c r="JDJ37" s="299"/>
      <c r="JDK37" s="299"/>
      <c r="JDL37" s="299"/>
      <c r="JDM37" s="299"/>
      <c r="JDN37" s="299"/>
      <c r="JDO37" s="299"/>
      <c r="JDP37" s="299"/>
      <c r="JDQ37" s="299"/>
      <c r="JDR37" s="299"/>
      <c r="JDS37" s="299"/>
      <c r="JDT37" s="299"/>
      <c r="JDU37" s="299"/>
      <c r="JDV37" s="299"/>
      <c r="JDW37" s="299"/>
      <c r="JDX37" s="299"/>
      <c r="JDY37" s="299"/>
      <c r="JDZ37" s="299"/>
      <c r="JEA37" s="299"/>
      <c r="JEB37" s="299"/>
      <c r="JEC37" s="299"/>
      <c r="JED37" s="299"/>
      <c r="JEE37" s="299"/>
      <c r="JEF37" s="299"/>
      <c r="JEG37" s="299"/>
      <c r="JEH37" s="299"/>
      <c r="JEI37" s="299"/>
      <c r="JEJ37" s="299"/>
      <c r="JEK37" s="299"/>
      <c r="JEL37" s="299"/>
      <c r="JEM37" s="299"/>
      <c r="JEN37" s="299"/>
      <c r="JEO37" s="299"/>
      <c r="JEP37" s="299"/>
      <c r="JEQ37" s="299"/>
      <c r="JER37" s="299"/>
      <c r="JES37" s="299"/>
      <c r="JET37" s="299"/>
      <c r="JEU37" s="299"/>
      <c r="JEV37" s="299"/>
      <c r="JEW37" s="299"/>
      <c r="JEX37" s="299"/>
      <c r="JEY37" s="299"/>
      <c r="JEZ37" s="299"/>
      <c r="JFA37" s="299"/>
      <c r="JFB37" s="299"/>
      <c r="JFC37" s="299"/>
      <c r="JFD37" s="299"/>
      <c r="JFE37" s="299"/>
      <c r="JFF37" s="299"/>
      <c r="JFG37" s="299"/>
      <c r="JFH37" s="299"/>
      <c r="JFI37" s="299"/>
      <c r="JFJ37" s="299"/>
      <c r="JFK37" s="299"/>
      <c r="JFL37" s="299"/>
      <c r="JFM37" s="299"/>
      <c r="JFN37" s="299"/>
      <c r="JFO37" s="299"/>
      <c r="JFP37" s="299"/>
      <c r="JFQ37" s="299"/>
      <c r="JFR37" s="299"/>
      <c r="JFS37" s="299"/>
      <c r="JFT37" s="299"/>
      <c r="JFU37" s="299"/>
      <c r="JFV37" s="299"/>
      <c r="JFW37" s="299"/>
      <c r="JFX37" s="299"/>
      <c r="JFY37" s="299"/>
      <c r="JFZ37" s="299"/>
      <c r="JGA37" s="299"/>
      <c r="JGB37" s="299"/>
      <c r="JGC37" s="299"/>
      <c r="JGD37" s="299"/>
      <c r="JGE37" s="299"/>
      <c r="JGF37" s="299"/>
      <c r="JGG37" s="299"/>
      <c r="JGH37" s="299"/>
      <c r="JGI37" s="299"/>
      <c r="JGJ37" s="299"/>
      <c r="JGK37" s="299"/>
      <c r="JGL37" s="299"/>
      <c r="JGM37" s="299"/>
      <c r="JGN37" s="299"/>
      <c r="JGO37" s="299"/>
      <c r="JGP37" s="299"/>
      <c r="JGQ37" s="299"/>
      <c r="JGR37" s="299"/>
      <c r="JGS37" s="299"/>
      <c r="JGT37" s="299"/>
      <c r="JGU37" s="299"/>
      <c r="JGV37" s="299"/>
      <c r="JGW37" s="299"/>
      <c r="JGX37" s="299"/>
      <c r="JGY37" s="299"/>
      <c r="JGZ37" s="299"/>
      <c r="JHA37" s="299"/>
      <c r="JHB37" s="299"/>
      <c r="JHC37" s="299"/>
      <c r="JHD37" s="299"/>
      <c r="JHE37" s="299"/>
      <c r="JHF37" s="299"/>
      <c r="JHG37" s="299"/>
      <c r="JHH37" s="299"/>
      <c r="JHI37" s="299"/>
      <c r="JHJ37" s="299"/>
      <c r="JHK37" s="299"/>
      <c r="JHL37" s="299"/>
      <c r="JHM37" s="299"/>
      <c r="JHN37" s="299"/>
      <c r="JHO37" s="299"/>
      <c r="JHP37" s="299"/>
      <c r="JHQ37" s="299"/>
      <c r="JHR37" s="299"/>
      <c r="JHS37" s="299"/>
      <c r="JHT37" s="299"/>
      <c r="JHU37" s="299"/>
      <c r="JHV37" s="299"/>
      <c r="JHW37" s="299"/>
      <c r="JHX37" s="299"/>
      <c r="JHY37" s="299"/>
      <c r="JHZ37" s="299"/>
      <c r="JIA37" s="299"/>
      <c r="JIB37" s="299"/>
      <c r="JIC37" s="299"/>
      <c r="JID37" s="299"/>
      <c r="JIE37" s="299"/>
      <c r="JIF37" s="299"/>
      <c r="JIG37" s="299"/>
      <c r="JIH37" s="299"/>
      <c r="JII37" s="299"/>
      <c r="JIJ37" s="299"/>
      <c r="JIK37" s="299"/>
      <c r="JIL37" s="299"/>
      <c r="JIM37" s="299"/>
      <c r="JIN37" s="299"/>
      <c r="JIO37" s="299"/>
      <c r="JIP37" s="299"/>
      <c r="JIQ37" s="299"/>
      <c r="JIR37" s="299"/>
      <c r="JIS37" s="299"/>
      <c r="JIT37" s="299"/>
      <c r="JIU37" s="299"/>
      <c r="JIV37" s="299"/>
      <c r="JIW37" s="299"/>
      <c r="JIX37" s="299"/>
      <c r="JIY37" s="299"/>
      <c r="JIZ37" s="299"/>
      <c r="JJA37" s="299"/>
      <c r="JJB37" s="299"/>
      <c r="JJC37" s="299"/>
      <c r="JJD37" s="299"/>
      <c r="JJE37" s="299"/>
      <c r="JJF37" s="299"/>
      <c r="JJG37" s="299"/>
      <c r="JJH37" s="299"/>
      <c r="JJI37" s="299"/>
      <c r="JJJ37" s="299"/>
      <c r="JJK37" s="299"/>
      <c r="JJL37" s="299"/>
      <c r="JJM37" s="299"/>
      <c r="JJN37" s="299"/>
      <c r="JJO37" s="299"/>
      <c r="JJP37" s="299"/>
      <c r="JJQ37" s="299"/>
      <c r="JJR37" s="299"/>
      <c r="JJS37" s="299"/>
      <c r="JJT37" s="299"/>
      <c r="JJU37" s="299"/>
      <c r="JJV37" s="299"/>
      <c r="JJW37" s="299"/>
      <c r="JJX37" s="299"/>
      <c r="JJY37" s="299"/>
      <c r="JJZ37" s="299"/>
      <c r="JKA37" s="299"/>
      <c r="JKB37" s="299"/>
      <c r="JKC37" s="299"/>
      <c r="JKD37" s="299"/>
      <c r="JKE37" s="299"/>
      <c r="JKF37" s="299"/>
      <c r="JKG37" s="299"/>
      <c r="JKH37" s="299"/>
      <c r="JKI37" s="299"/>
      <c r="JKJ37" s="299"/>
      <c r="JKK37" s="299"/>
      <c r="JKL37" s="299"/>
      <c r="JKM37" s="299"/>
      <c r="JKN37" s="299"/>
      <c r="JKO37" s="299"/>
      <c r="JKP37" s="299"/>
      <c r="JKQ37" s="299"/>
      <c r="JKR37" s="299"/>
      <c r="JKS37" s="299"/>
      <c r="JKT37" s="299"/>
      <c r="JKU37" s="299"/>
      <c r="JKV37" s="299"/>
      <c r="JKW37" s="299"/>
      <c r="JKX37" s="299"/>
      <c r="JKY37" s="299"/>
      <c r="JKZ37" s="299"/>
      <c r="JLA37" s="299"/>
      <c r="JLB37" s="299"/>
      <c r="JLC37" s="299"/>
      <c r="JLD37" s="299"/>
      <c r="JLE37" s="299"/>
      <c r="JLF37" s="299"/>
      <c r="JLG37" s="299"/>
      <c r="JLH37" s="299"/>
      <c r="JLI37" s="299"/>
      <c r="JLJ37" s="299"/>
      <c r="JLK37" s="299"/>
      <c r="JLL37" s="299"/>
      <c r="JLM37" s="299"/>
      <c r="JLN37" s="299"/>
      <c r="JLO37" s="299"/>
      <c r="JLP37" s="299"/>
      <c r="JLQ37" s="299"/>
      <c r="JLR37" s="299"/>
      <c r="JLS37" s="299"/>
      <c r="JLT37" s="299"/>
      <c r="JLU37" s="299"/>
      <c r="JLV37" s="299"/>
      <c r="JLW37" s="299"/>
      <c r="JLX37" s="299"/>
      <c r="JLY37" s="299"/>
      <c r="JLZ37" s="299"/>
      <c r="JMA37" s="299"/>
      <c r="JMB37" s="299"/>
      <c r="JMC37" s="299"/>
      <c r="JMD37" s="299"/>
      <c r="JME37" s="299"/>
      <c r="JMF37" s="299"/>
      <c r="JMG37" s="299"/>
      <c r="JMH37" s="299"/>
      <c r="JMI37" s="299"/>
      <c r="JMJ37" s="299"/>
      <c r="JMK37" s="299"/>
      <c r="JML37" s="299"/>
      <c r="JMM37" s="299"/>
      <c r="JMN37" s="299"/>
      <c r="JMO37" s="299"/>
      <c r="JMP37" s="299"/>
      <c r="JMQ37" s="299"/>
      <c r="JMR37" s="299"/>
      <c r="JMS37" s="299"/>
      <c r="JMT37" s="299"/>
      <c r="JMU37" s="299"/>
      <c r="JMV37" s="299"/>
      <c r="JMW37" s="299"/>
      <c r="JMX37" s="299"/>
      <c r="JMY37" s="299"/>
      <c r="JMZ37" s="299"/>
      <c r="JNA37" s="299"/>
      <c r="JNB37" s="299"/>
      <c r="JNC37" s="299"/>
      <c r="JND37" s="299"/>
      <c r="JNE37" s="299"/>
      <c r="JNF37" s="299"/>
      <c r="JNG37" s="299"/>
      <c r="JNH37" s="299"/>
      <c r="JNI37" s="299"/>
      <c r="JNJ37" s="299"/>
      <c r="JNK37" s="299"/>
      <c r="JNL37" s="299"/>
      <c r="JNM37" s="299"/>
      <c r="JNN37" s="299"/>
      <c r="JNO37" s="299"/>
      <c r="JNP37" s="299"/>
      <c r="JNQ37" s="299"/>
      <c r="JNR37" s="299"/>
      <c r="JNS37" s="299"/>
      <c r="JNT37" s="299"/>
      <c r="JNU37" s="299"/>
      <c r="JNV37" s="299"/>
      <c r="JNW37" s="299"/>
      <c r="JNX37" s="299"/>
      <c r="JNY37" s="299"/>
      <c r="JNZ37" s="299"/>
      <c r="JOA37" s="299"/>
      <c r="JOB37" s="299"/>
      <c r="JOC37" s="299"/>
      <c r="JOD37" s="299"/>
      <c r="JOE37" s="299"/>
      <c r="JOF37" s="299"/>
      <c r="JOG37" s="299"/>
      <c r="JOH37" s="299"/>
      <c r="JOI37" s="299"/>
      <c r="JOJ37" s="299"/>
      <c r="JOK37" s="299"/>
      <c r="JOL37" s="299"/>
      <c r="JOM37" s="299"/>
      <c r="JON37" s="299"/>
      <c r="JOO37" s="299"/>
      <c r="JOP37" s="299"/>
      <c r="JOQ37" s="299"/>
      <c r="JOR37" s="299"/>
      <c r="JOS37" s="299"/>
      <c r="JOT37" s="299"/>
      <c r="JOU37" s="299"/>
      <c r="JOV37" s="299"/>
      <c r="JOW37" s="299"/>
      <c r="JOX37" s="299"/>
      <c r="JOY37" s="299"/>
      <c r="JOZ37" s="299"/>
      <c r="JPA37" s="299"/>
      <c r="JPB37" s="299"/>
      <c r="JPC37" s="299"/>
      <c r="JPD37" s="299"/>
      <c r="JPE37" s="299"/>
      <c r="JPF37" s="299"/>
      <c r="JPG37" s="299"/>
      <c r="JPH37" s="299"/>
      <c r="JPI37" s="299"/>
      <c r="JPJ37" s="299"/>
      <c r="JPK37" s="299"/>
      <c r="JPL37" s="299"/>
      <c r="JPM37" s="299"/>
      <c r="JPN37" s="299"/>
      <c r="JPO37" s="299"/>
      <c r="JPP37" s="299"/>
      <c r="JPQ37" s="299"/>
      <c r="JPR37" s="299"/>
      <c r="JPS37" s="299"/>
      <c r="JPT37" s="299"/>
      <c r="JPU37" s="299"/>
      <c r="JPV37" s="299"/>
      <c r="JPW37" s="299"/>
      <c r="JPX37" s="299"/>
      <c r="JPY37" s="299"/>
      <c r="JPZ37" s="299"/>
      <c r="JQA37" s="299"/>
      <c r="JQB37" s="299"/>
      <c r="JQC37" s="299"/>
      <c r="JQD37" s="299"/>
      <c r="JQE37" s="299"/>
      <c r="JQF37" s="299"/>
      <c r="JQG37" s="299"/>
      <c r="JQH37" s="299"/>
      <c r="JQI37" s="299"/>
      <c r="JQJ37" s="299"/>
      <c r="JQK37" s="299"/>
      <c r="JQL37" s="299"/>
      <c r="JQM37" s="299"/>
      <c r="JQN37" s="299"/>
      <c r="JQO37" s="299"/>
      <c r="JQP37" s="299"/>
      <c r="JQQ37" s="299"/>
      <c r="JQR37" s="299"/>
      <c r="JQS37" s="299"/>
      <c r="JQT37" s="299"/>
      <c r="JQU37" s="299"/>
      <c r="JQV37" s="299"/>
      <c r="JQW37" s="299"/>
      <c r="JQX37" s="299"/>
      <c r="JQY37" s="299"/>
      <c r="JQZ37" s="299"/>
      <c r="JRA37" s="299"/>
      <c r="JRB37" s="299"/>
      <c r="JRC37" s="299"/>
      <c r="JRD37" s="299"/>
      <c r="JRE37" s="299"/>
      <c r="JRF37" s="299"/>
      <c r="JRG37" s="299"/>
      <c r="JRH37" s="299"/>
      <c r="JRI37" s="299"/>
      <c r="JRJ37" s="299"/>
      <c r="JRK37" s="299"/>
      <c r="JRL37" s="299"/>
      <c r="JRM37" s="299"/>
      <c r="JRN37" s="299"/>
      <c r="JRO37" s="299"/>
      <c r="JRP37" s="299"/>
      <c r="JRQ37" s="299"/>
      <c r="JRR37" s="299"/>
      <c r="JRS37" s="299"/>
      <c r="JRT37" s="299"/>
      <c r="JRU37" s="299"/>
      <c r="JRV37" s="299"/>
      <c r="JRW37" s="299"/>
      <c r="JRX37" s="299"/>
      <c r="JRY37" s="299"/>
      <c r="JRZ37" s="299"/>
      <c r="JSA37" s="299"/>
      <c r="JSB37" s="299"/>
      <c r="JSC37" s="299"/>
      <c r="JSD37" s="299"/>
      <c r="JSE37" s="299"/>
      <c r="JSF37" s="299"/>
      <c r="JSG37" s="299"/>
      <c r="JSH37" s="299"/>
      <c r="JSI37" s="299"/>
      <c r="JSJ37" s="299"/>
      <c r="JSK37" s="299"/>
      <c r="JSL37" s="299"/>
      <c r="JSM37" s="299"/>
      <c r="JSN37" s="299"/>
      <c r="JSO37" s="299"/>
      <c r="JSP37" s="299"/>
      <c r="JSQ37" s="299"/>
      <c r="JSR37" s="299"/>
      <c r="JSS37" s="299"/>
      <c r="JST37" s="299"/>
      <c r="JSU37" s="299"/>
      <c r="JSV37" s="299"/>
      <c r="JSW37" s="299"/>
      <c r="JSX37" s="299"/>
      <c r="JSY37" s="299"/>
      <c r="JSZ37" s="299"/>
      <c r="JTA37" s="299"/>
      <c r="JTB37" s="299"/>
      <c r="JTC37" s="299"/>
      <c r="JTD37" s="299"/>
      <c r="JTE37" s="299"/>
      <c r="JTF37" s="299"/>
      <c r="JTG37" s="299"/>
      <c r="JTH37" s="299"/>
      <c r="JTI37" s="299"/>
      <c r="JTJ37" s="299"/>
      <c r="JTK37" s="299"/>
      <c r="JTL37" s="299"/>
      <c r="JTM37" s="299"/>
      <c r="JTN37" s="299"/>
      <c r="JTO37" s="299"/>
      <c r="JTP37" s="299"/>
      <c r="JTQ37" s="299"/>
      <c r="JTR37" s="299"/>
      <c r="JTS37" s="299"/>
      <c r="JTT37" s="299"/>
      <c r="JTU37" s="299"/>
      <c r="JTV37" s="299"/>
      <c r="JTW37" s="299"/>
      <c r="JTX37" s="299"/>
      <c r="JTY37" s="299"/>
      <c r="JTZ37" s="299"/>
      <c r="JUA37" s="299"/>
      <c r="JUB37" s="299"/>
      <c r="JUC37" s="299"/>
      <c r="JUD37" s="299"/>
      <c r="JUE37" s="299"/>
      <c r="JUF37" s="299"/>
      <c r="JUG37" s="299"/>
      <c r="JUH37" s="299"/>
      <c r="JUI37" s="299"/>
      <c r="JUJ37" s="299"/>
      <c r="JUK37" s="299"/>
      <c r="JUL37" s="299"/>
      <c r="JUM37" s="299"/>
      <c r="JUN37" s="299"/>
      <c r="JUO37" s="299"/>
      <c r="JUP37" s="299"/>
      <c r="JUQ37" s="299"/>
      <c r="JUR37" s="299"/>
      <c r="JUS37" s="299"/>
      <c r="JUT37" s="299"/>
      <c r="JUU37" s="299"/>
      <c r="JUV37" s="299"/>
      <c r="JUW37" s="299"/>
      <c r="JUX37" s="299"/>
      <c r="JUY37" s="299"/>
      <c r="JUZ37" s="299"/>
      <c r="JVA37" s="299"/>
      <c r="JVB37" s="299"/>
      <c r="JVC37" s="299"/>
      <c r="JVD37" s="299"/>
      <c r="JVE37" s="299"/>
      <c r="JVF37" s="299"/>
      <c r="JVG37" s="299"/>
      <c r="JVH37" s="299"/>
      <c r="JVI37" s="299"/>
      <c r="JVJ37" s="299"/>
      <c r="JVK37" s="299"/>
      <c r="JVL37" s="299"/>
      <c r="JVM37" s="299"/>
      <c r="JVN37" s="299"/>
      <c r="JVO37" s="299"/>
      <c r="JVP37" s="299"/>
      <c r="JVQ37" s="299"/>
      <c r="JVR37" s="299"/>
      <c r="JVS37" s="299"/>
      <c r="JVT37" s="299"/>
      <c r="JVU37" s="299"/>
      <c r="JVV37" s="299"/>
      <c r="JVW37" s="299"/>
      <c r="JVX37" s="299"/>
      <c r="JVY37" s="299"/>
      <c r="JVZ37" s="299"/>
      <c r="JWA37" s="299"/>
      <c r="JWB37" s="299"/>
      <c r="JWC37" s="299"/>
      <c r="JWD37" s="299"/>
      <c r="JWE37" s="299"/>
      <c r="JWF37" s="299"/>
      <c r="JWG37" s="299"/>
      <c r="JWH37" s="299"/>
      <c r="JWI37" s="299"/>
      <c r="JWJ37" s="299"/>
      <c r="JWK37" s="299"/>
      <c r="JWL37" s="299"/>
      <c r="JWM37" s="299"/>
      <c r="JWN37" s="299"/>
      <c r="JWO37" s="299"/>
      <c r="JWP37" s="299"/>
      <c r="JWQ37" s="299"/>
      <c r="JWR37" s="299"/>
      <c r="JWS37" s="299"/>
      <c r="JWT37" s="299"/>
      <c r="JWU37" s="299"/>
      <c r="JWV37" s="299"/>
      <c r="JWW37" s="299"/>
      <c r="JWX37" s="299"/>
      <c r="JWY37" s="299"/>
      <c r="JWZ37" s="299"/>
      <c r="JXA37" s="299"/>
      <c r="JXB37" s="299"/>
      <c r="JXC37" s="299"/>
      <c r="JXD37" s="299"/>
      <c r="JXE37" s="299"/>
      <c r="JXF37" s="299"/>
      <c r="JXG37" s="299"/>
      <c r="JXH37" s="299"/>
      <c r="JXI37" s="299"/>
      <c r="JXJ37" s="299"/>
      <c r="JXK37" s="299"/>
      <c r="JXL37" s="299"/>
      <c r="JXM37" s="299"/>
      <c r="JXN37" s="299"/>
      <c r="JXO37" s="299"/>
      <c r="JXP37" s="299"/>
      <c r="JXQ37" s="299"/>
      <c r="JXR37" s="299"/>
      <c r="JXS37" s="299"/>
      <c r="JXT37" s="299"/>
      <c r="JXU37" s="299"/>
      <c r="JXV37" s="299"/>
      <c r="JXW37" s="299"/>
      <c r="JXX37" s="299"/>
      <c r="JXY37" s="299"/>
      <c r="JXZ37" s="299"/>
      <c r="JYA37" s="299"/>
      <c r="JYB37" s="299"/>
      <c r="JYC37" s="299"/>
      <c r="JYD37" s="299"/>
      <c r="JYE37" s="299"/>
      <c r="JYF37" s="299"/>
      <c r="JYG37" s="299"/>
      <c r="JYH37" s="299"/>
      <c r="JYI37" s="299"/>
      <c r="JYJ37" s="299"/>
      <c r="JYK37" s="299"/>
      <c r="JYL37" s="299"/>
      <c r="JYM37" s="299"/>
      <c r="JYN37" s="299"/>
      <c r="JYO37" s="299"/>
      <c r="JYP37" s="299"/>
      <c r="JYQ37" s="299"/>
      <c r="JYR37" s="299"/>
      <c r="JYS37" s="299"/>
      <c r="JYT37" s="299"/>
      <c r="JYU37" s="299"/>
      <c r="JYV37" s="299"/>
      <c r="JYW37" s="299"/>
      <c r="JYX37" s="299"/>
      <c r="JYY37" s="299"/>
      <c r="JYZ37" s="299"/>
      <c r="JZA37" s="299"/>
      <c r="JZB37" s="299"/>
      <c r="JZC37" s="299"/>
      <c r="JZD37" s="299"/>
      <c r="JZE37" s="299"/>
      <c r="JZF37" s="299"/>
      <c r="JZG37" s="299"/>
      <c r="JZH37" s="299"/>
      <c r="JZI37" s="299"/>
      <c r="JZJ37" s="299"/>
      <c r="JZK37" s="299"/>
      <c r="JZL37" s="299"/>
      <c r="JZM37" s="299"/>
      <c r="JZN37" s="299"/>
      <c r="JZO37" s="299"/>
      <c r="JZP37" s="299"/>
      <c r="JZQ37" s="299"/>
      <c r="JZR37" s="299"/>
      <c r="JZS37" s="299"/>
      <c r="JZT37" s="299"/>
      <c r="JZU37" s="299"/>
      <c r="JZV37" s="299"/>
      <c r="JZW37" s="299"/>
      <c r="JZX37" s="299"/>
      <c r="JZY37" s="299"/>
      <c r="JZZ37" s="299"/>
      <c r="KAA37" s="299"/>
      <c r="KAB37" s="299"/>
      <c r="KAC37" s="299"/>
      <c r="KAD37" s="299"/>
      <c r="KAE37" s="299"/>
      <c r="KAF37" s="299"/>
      <c r="KAG37" s="299"/>
      <c r="KAH37" s="299"/>
      <c r="KAI37" s="299"/>
      <c r="KAJ37" s="299"/>
      <c r="KAK37" s="299"/>
      <c r="KAL37" s="299"/>
      <c r="KAM37" s="299"/>
      <c r="KAN37" s="299"/>
      <c r="KAO37" s="299"/>
      <c r="KAP37" s="299"/>
      <c r="KAQ37" s="299"/>
      <c r="KAR37" s="299"/>
      <c r="KAS37" s="299"/>
      <c r="KAT37" s="299"/>
      <c r="KAU37" s="299"/>
      <c r="KAV37" s="299"/>
      <c r="KAW37" s="299"/>
      <c r="KAX37" s="299"/>
      <c r="KAY37" s="299"/>
      <c r="KAZ37" s="299"/>
      <c r="KBA37" s="299"/>
      <c r="KBB37" s="299"/>
      <c r="KBC37" s="299"/>
      <c r="KBD37" s="299"/>
      <c r="KBE37" s="299"/>
      <c r="KBF37" s="299"/>
      <c r="KBG37" s="299"/>
      <c r="KBH37" s="299"/>
      <c r="KBI37" s="299"/>
      <c r="KBJ37" s="299"/>
      <c r="KBK37" s="299"/>
      <c r="KBL37" s="299"/>
      <c r="KBM37" s="299"/>
      <c r="KBN37" s="299"/>
      <c r="KBO37" s="299"/>
      <c r="KBP37" s="299"/>
      <c r="KBQ37" s="299"/>
      <c r="KBR37" s="299"/>
      <c r="KBS37" s="299"/>
      <c r="KBT37" s="299"/>
      <c r="KBU37" s="299"/>
      <c r="KBV37" s="299"/>
      <c r="KBW37" s="299"/>
      <c r="KBX37" s="299"/>
      <c r="KBY37" s="299"/>
      <c r="KBZ37" s="299"/>
      <c r="KCA37" s="299"/>
      <c r="KCB37" s="299"/>
      <c r="KCC37" s="299"/>
      <c r="KCD37" s="299"/>
      <c r="KCE37" s="299"/>
      <c r="KCF37" s="299"/>
      <c r="KCG37" s="299"/>
      <c r="KCH37" s="299"/>
      <c r="KCI37" s="299"/>
      <c r="KCJ37" s="299"/>
      <c r="KCK37" s="299"/>
      <c r="KCL37" s="299"/>
      <c r="KCM37" s="299"/>
      <c r="KCN37" s="299"/>
      <c r="KCO37" s="299"/>
      <c r="KCP37" s="299"/>
      <c r="KCQ37" s="299"/>
      <c r="KCR37" s="299"/>
      <c r="KCS37" s="299"/>
      <c r="KCT37" s="299"/>
      <c r="KCU37" s="299"/>
      <c r="KCV37" s="299"/>
      <c r="KCW37" s="299"/>
      <c r="KCX37" s="299"/>
      <c r="KCY37" s="299"/>
      <c r="KCZ37" s="299"/>
      <c r="KDA37" s="299"/>
      <c r="KDB37" s="299"/>
      <c r="KDC37" s="299"/>
      <c r="KDD37" s="299"/>
      <c r="KDE37" s="299"/>
      <c r="KDF37" s="299"/>
      <c r="KDG37" s="299"/>
      <c r="KDH37" s="299"/>
      <c r="KDI37" s="299"/>
      <c r="KDJ37" s="299"/>
      <c r="KDK37" s="299"/>
      <c r="KDL37" s="299"/>
      <c r="KDM37" s="299"/>
      <c r="KDN37" s="299"/>
      <c r="KDO37" s="299"/>
      <c r="KDP37" s="299"/>
      <c r="KDQ37" s="299"/>
      <c r="KDR37" s="299"/>
      <c r="KDS37" s="299"/>
      <c r="KDT37" s="299"/>
      <c r="KDU37" s="299"/>
      <c r="KDV37" s="299"/>
      <c r="KDW37" s="299"/>
      <c r="KDX37" s="299"/>
      <c r="KDY37" s="299"/>
      <c r="KDZ37" s="299"/>
      <c r="KEA37" s="299"/>
      <c r="KEB37" s="299"/>
      <c r="KEC37" s="299"/>
      <c r="KED37" s="299"/>
      <c r="KEE37" s="299"/>
      <c r="KEF37" s="299"/>
      <c r="KEG37" s="299"/>
      <c r="KEH37" s="299"/>
      <c r="KEI37" s="299"/>
      <c r="KEJ37" s="299"/>
      <c r="KEK37" s="299"/>
      <c r="KEL37" s="299"/>
      <c r="KEM37" s="299"/>
      <c r="KEN37" s="299"/>
      <c r="KEO37" s="299"/>
      <c r="KEP37" s="299"/>
      <c r="KEQ37" s="299"/>
      <c r="KER37" s="299"/>
      <c r="KES37" s="299"/>
      <c r="KET37" s="299"/>
      <c r="KEU37" s="299"/>
      <c r="KEV37" s="299"/>
      <c r="KEW37" s="299"/>
      <c r="KEX37" s="299"/>
      <c r="KEY37" s="299"/>
      <c r="KEZ37" s="299"/>
      <c r="KFA37" s="299"/>
      <c r="KFB37" s="299"/>
      <c r="KFC37" s="299"/>
      <c r="KFD37" s="299"/>
      <c r="KFE37" s="299"/>
      <c r="KFF37" s="299"/>
      <c r="KFG37" s="299"/>
      <c r="KFH37" s="299"/>
      <c r="KFI37" s="299"/>
      <c r="KFJ37" s="299"/>
      <c r="KFK37" s="299"/>
      <c r="KFL37" s="299"/>
      <c r="KFM37" s="299"/>
      <c r="KFN37" s="299"/>
      <c r="KFO37" s="299"/>
      <c r="KFP37" s="299"/>
      <c r="KFQ37" s="299"/>
      <c r="KFR37" s="299"/>
      <c r="KFS37" s="299"/>
      <c r="KFT37" s="299"/>
      <c r="KFU37" s="299"/>
      <c r="KFV37" s="299"/>
      <c r="KFW37" s="299"/>
      <c r="KFX37" s="299"/>
      <c r="KFY37" s="299"/>
      <c r="KFZ37" s="299"/>
      <c r="KGA37" s="299"/>
      <c r="KGB37" s="299"/>
      <c r="KGC37" s="299"/>
      <c r="KGD37" s="299"/>
      <c r="KGE37" s="299"/>
      <c r="KGF37" s="299"/>
      <c r="KGG37" s="299"/>
      <c r="KGH37" s="299"/>
      <c r="KGI37" s="299"/>
      <c r="KGJ37" s="299"/>
      <c r="KGK37" s="299"/>
      <c r="KGL37" s="299"/>
      <c r="KGM37" s="299"/>
      <c r="KGN37" s="299"/>
      <c r="KGO37" s="299"/>
      <c r="KGP37" s="299"/>
      <c r="KGQ37" s="299"/>
      <c r="KGR37" s="299"/>
      <c r="KGS37" s="299"/>
      <c r="KGT37" s="299"/>
      <c r="KGU37" s="299"/>
      <c r="KGV37" s="299"/>
      <c r="KGW37" s="299"/>
      <c r="KGX37" s="299"/>
      <c r="KGY37" s="299"/>
      <c r="KGZ37" s="299"/>
      <c r="KHA37" s="299"/>
      <c r="KHB37" s="299"/>
      <c r="KHC37" s="299"/>
      <c r="KHD37" s="299"/>
      <c r="KHE37" s="299"/>
      <c r="KHF37" s="299"/>
      <c r="KHG37" s="299"/>
      <c r="KHH37" s="299"/>
      <c r="KHI37" s="299"/>
      <c r="KHJ37" s="299"/>
      <c r="KHK37" s="299"/>
      <c r="KHL37" s="299"/>
      <c r="KHM37" s="299"/>
      <c r="KHN37" s="299"/>
      <c r="KHO37" s="299"/>
      <c r="KHP37" s="299"/>
      <c r="KHQ37" s="299"/>
      <c r="KHR37" s="299"/>
      <c r="KHS37" s="299"/>
      <c r="KHT37" s="299"/>
      <c r="KHU37" s="299"/>
      <c r="KHV37" s="299"/>
      <c r="KHW37" s="299"/>
      <c r="KHX37" s="299"/>
      <c r="KHY37" s="299"/>
      <c r="KHZ37" s="299"/>
      <c r="KIA37" s="299"/>
      <c r="KIB37" s="299"/>
      <c r="KIC37" s="299"/>
      <c r="KID37" s="299"/>
      <c r="KIE37" s="299"/>
      <c r="KIF37" s="299"/>
      <c r="KIG37" s="299"/>
      <c r="KIH37" s="299"/>
      <c r="KII37" s="299"/>
      <c r="KIJ37" s="299"/>
      <c r="KIK37" s="299"/>
      <c r="KIL37" s="299"/>
      <c r="KIM37" s="299"/>
      <c r="KIN37" s="299"/>
      <c r="KIO37" s="299"/>
      <c r="KIP37" s="299"/>
      <c r="KIQ37" s="299"/>
      <c r="KIR37" s="299"/>
      <c r="KIS37" s="299"/>
      <c r="KIT37" s="299"/>
      <c r="KIU37" s="299"/>
      <c r="KIV37" s="299"/>
      <c r="KIW37" s="299"/>
      <c r="KIX37" s="299"/>
      <c r="KIY37" s="299"/>
      <c r="KIZ37" s="299"/>
      <c r="KJA37" s="299"/>
      <c r="KJB37" s="299"/>
      <c r="KJC37" s="299"/>
      <c r="KJD37" s="299"/>
      <c r="KJE37" s="299"/>
      <c r="KJF37" s="299"/>
      <c r="KJG37" s="299"/>
      <c r="KJH37" s="299"/>
      <c r="KJI37" s="299"/>
      <c r="KJJ37" s="299"/>
      <c r="KJK37" s="299"/>
      <c r="KJL37" s="299"/>
      <c r="KJM37" s="299"/>
      <c r="KJN37" s="299"/>
      <c r="KJO37" s="299"/>
      <c r="KJP37" s="299"/>
      <c r="KJQ37" s="299"/>
      <c r="KJR37" s="299"/>
      <c r="KJS37" s="299"/>
      <c r="KJT37" s="299"/>
      <c r="KJU37" s="299"/>
      <c r="KJV37" s="299"/>
      <c r="KJW37" s="299"/>
      <c r="KJX37" s="299"/>
      <c r="KJY37" s="299"/>
      <c r="KJZ37" s="299"/>
      <c r="KKA37" s="299"/>
      <c r="KKB37" s="299"/>
      <c r="KKC37" s="299"/>
      <c r="KKD37" s="299"/>
      <c r="KKE37" s="299"/>
      <c r="KKF37" s="299"/>
      <c r="KKG37" s="299"/>
      <c r="KKH37" s="299"/>
      <c r="KKI37" s="299"/>
      <c r="KKJ37" s="299"/>
      <c r="KKK37" s="299"/>
      <c r="KKL37" s="299"/>
      <c r="KKM37" s="299"/>
      <c r="KKN37" s="299"/>
      <c r="KKO37" s="299"/>
      <c r="KKP37" s="299"/>
      <c r="KKQ37" s="299"/>
      <c r="KKR37" s="299"/>
      <c r="KKS37" s="299"/>
      <c r="KKT37" s="299"/>
      <c r="KKU37" s="299"/>
      <c r="KKV37" s="299"/>
      <c r="KKW37" s="299"/>
      <c r="KKX37" s="299"/>
      <c r="KKY37" s="299"/>
      <c r="KKZ37" s="299"/>
      <c r="KLA37" s="299"/>
      <c r="KLB37" s="299"/>
      <c r="KLC37" s="299"/>
      <c r="KLD37" s="299"/>
      <c r="KLE37" s="299"/>
      <c r="KLF37" s="299"/>
      <c r="KLG37" s="299"/>
      <c r="KLH37" s="299"/>
      <c r="KLI37" s="299"/>
      <c r="KLJ37" s="299"/>
      <c r="KLK37" s="299"/>
      <c r="KLL37" s="299"/>
      <c r="KLM37" s="299"/>
      <c r="KLN37" s="299"/>
      <c r="KLO37" s="299"/>
      <c r="KLP37" s="299"/>
      <c r="KLQ37" s="299"/>
      <c r="KLR37" s="299"/>
      <c r="KLS37" s="299"/>
      <c r="KLT37" s="299"/>
      <c r="KLU37" s="299"/>
      <c r="KLV37" s="299"/>
      <c r="KLW37" s="299"/>
      <c r="KLX37" s="299"/>
      <c r="KLY37" s="299"/>
      <c r="KLZ37" s="299"/>
      <c r="KMA37" s="299"/>
      <c r="KMB37" s="299"/>
      <c r="KMC37" s="299"/>
      <c r="KMD37" s="299"/>
      <c r="KME37" s="299"/>
      <c r="KMF37" s="299"/>
      <c r="KMG37" s="299"/>
      <c r="KMH37" s="299"/>
      <c r="KMI37" s="299"/>
      <c r="KMJ37" s="299"/>
      <c r="KMK37" s="299"/>
      <c r="KML37" s="299"/>
      <c r="KMM37" s="299"/>
      <c r="KMN37" s="299"/>
      <c r="KMO37" s="299"/>
      <c r="KMP37" s="299"/>
      <c r="KMQ37" s="299"/>
      <c r="KMR37" s="299"/>
      <c r="KMS37" s="299"/>
      <c r="KMT37" s="299"/>
      <c r="KMU37" s="299"/>
      <c r="KMV37" s="299"/>
      <c r="KMW37" s="299"/>
      <c r="KMX37" s="299"/>
      <c r="KMY37" s="299"/>
      <c r="KMZ37" s="299"/>
      <c r="KNA37" s="299"/>
      <c r="KNB37" s="299"/>
      <c r="KNC37" s="299"/>
      <c r="KND37" s="299"/>
      <c r="KNE37" s="299"/>
      <c r="KNF37" s="299"/>
      <c r="KNG37" s="299"/>
      <c r="KNH37" s="299"/>
      <c r="KNI37" s="299"/>
      <c r="KNJ37" s="299"/>
      <c r="KNK37" s="299"/>
      <c r="KNL37" s="299"/>
      <c r="KNM37" s="299"/>
      <c r="KNN37" s="299"/>
      <c r="KNO37" s="299"/>
      <c r="KNP37" s="299"/>
      <c r="KNQ37" s="299"/>
      <c r="KNR37" s="299"/>
      <c r="KNS37" s="299"/>
      <c r="KNT37" s="299"/>
      <c r="KNU37" s="299"/>
      <c r="KNV37" s="299"/>
      <c r="KNW37" s="299"/>
      <c r="KNX37" s="299"/>
      <c r="KNY37" s="299"/>
      <c r="KNZ37" s="299"/>
      <c r="KOA37" s="299"/>
      <c r="KOB37" s="299"/>
      <c r="KOC37" s="299"/>
      <c r="KOD37" s="299"/>
      <c r="KOE37" s="299"/>
      <c r="KOF37" s="299"/>
      <c r="KOG37" s="299"/>
      <c r="KOH37" s="299"/>
      <c r="KOI37" s="299"/>
      <c r="KOJ37" s="299"/>
      <c r="KOK37" s="299"/>
      <c r="KOL37" s="299"/>
      <c r="KOM37" s="299"/>
      <c r="KON37" s="299"/>
      <c r="KOO37" s="299"/>
      <c r="KOP37" s="299"/>
      <c r="KOQ37" s="299"/>
      <c r="KOR37" s="299"/>
      <c r="KOS37" s="299"/>
      <c r="KOT37" s="299"/>
      <c r="KOU37" s="299"/>
      <c r="KOV37" s="299"/>
      <c r="KOW37" s="299"/>
      <c r="KOX37" s="299"/>
      <c r="KOY37" s="299"/>
      <c r="KOZ37" s="299"/>
      <c r="KPA37" s="299"/>
      <c r="KPB37" s="299"/>
      <c r="KPC37" s="299"/>
      <c r="KPD37" s="299"/>
      <c r="KPE37" s="299"/>
      <c r="KPF37" s="299"/>
      <c r="KPG37" s="299"/>
      <c r="KPH37" s="299"/>
      <c r="KPI37" s="299"/>
      <c r="KPJ37" s="299"/>
      <c r="KPK37" s="299"/>
      <c r="KPL37" s="299"/>
      <c r="KPM37" s="299"/>
      <c r="KPN37" s="299"/>
      <c r="KPO37" s="299"/>
      <c r="KPP37" s="299"/>
      <c r="KPQ37" s="299"/>
      <c r="KPR37" s="299"/>
      <c r="KPS37" s="299"/>
      <c r="KPT37" s="299"/>
      <c r="KPU37" s="299"/>
      <c r="KPV37" s="299"/>
      <c r="KPW37" s="299"/>
      <c r="KPX37" s="299"/>
      <c r="KPY37" s="299"/>
      <c r="KPZ37" s="299"/>
      <c r="KQA37" s="299"/>
      <c r="KQB37" s="299"/>
      <c r="KQC37" s="299"/>
      <c r="KQD37" s="299"/>
      <c r="KQE37" s="299"/>
      <c r="KQF37" s="299"/>
      <c r="KQG37" s="299"/>
      <c r="KQH37" s="299"/>
      <c r="KQI37" s="299"/>
      <c r="KQJ37" s="299"/>
      <c r="KQK37" s="299"/>
      <c r="KQL37" s="299"/>
      <c r="KQM37" s="299"/>
      <c r="KQN37" s="299"/>
      <c r="KQO37" s="299"/>
      <c r="KQP37" s="299"/>
      <c r="KQQ37" s="299"/>
      <c r="KQR37" s="299"/>
      <c r="KQS37" s="299"/>
      <c r="KQT37" s="299"/>
      <c r="KQU37" s="299"/>
      <c r="KQV37" s="299"/>
      <c r="KQW37" s="299"/>
      <c r="KQX37" s="299"/>
      <c r="KQY37" s="299"/>
      <c r="KQZ37" s="299"/>
      <c r="KRA37" s="299"/>
      <c r="KRB37" s="299"/>
      <c r="KRC37" s="299"/>
      <c r="KRD37" s="299"/>
      <c r="KRE37" s="299"/>
      <c r="KRF37" s="299"/>
      <c r="KRG37" s="299"/>
      <c r="KRH37" s="299"/>
      <c r="KRI37" s="299"/>
      <c r="KRJ37" s="299"/>
      <c r="KRK37" s="299"/>
      <c r="KRL37" s="299"/>
      <c r="KRM37" s="299"/>
      <c r="KRN37" s="299"/>
      <c r="KRO37" s="299"/>
      <c r="KRP37" s="299"/>
      <c r="KRQ37" s="299"/>
      <c r="KRR37" s="299"/>
      <c r="KRS37" s="299"/>
      <c r="KRT37" s="299"/>
      <c r="KRU37" s="299"/>
      <c r="KRV37" s="299"/>
      <c r="KRW37" s="299"/>
      <c r="KRX37" s="299"/>
      <c r="KRY37" s="299"/>
      <c r="KRZ37" s="299"/>
      <c r="KSA37" s="299"/>
      <c r="KSB37" s="299"/>
      <c r="KSC37" s="299"/>
      <c r="KSD37" s="299"/>
      <c r="KSE37" s="299"/>
      <c r="KSF37" s="299"/>
      <c r="KSG37" s="299"/>
      <c r="KSH37" s="299"/>
      <c r="KSI37" s="299"/>
      <c r="KSJ37" s="299"/>
      <c r="KSK37" s="299"/>
      <c r="KSL37" s="299"/>
      <c r="KSM37" s="299"/>
      <c r="KSN37" s="299"/>
      <c r="KSO37" s="299"/>
      <c r="KSP37" s="299"/>
      <c r="KSQ37" s="299"/>
      <c r="KSR37" s="299"/>
      <c r="KSS37" s="299"/>
      <c r="KST37" s="299"/>
      <c r="KSU37" s="299"/>
      <c r="KSV37" s="299"/>
      <c r="KSW37" s="299"/>
      <c r="KSX37" s="299"/>
      <c r="KSY37" s="299"/>
      <c r="KSZ37" s="299"/>
      <c r="KTA37" s="299"/>
      <c r="KTB37" s="299"/>
      <c r="KTC37" s="299"/>
      <c r="KTD37" s="299"/>
      <c r="KTE37" s="299"/>
      <c r="KTF37" s="299"/>
      <c r="KTG37" s="299"/>
      <c r="KTH37" s="299"/>
      <c r="KTI37" s="299"/>
      <c r="KTJ37" s="299"/>
      <c r="KTK37" s="299"/>
      <c r="KTL37" s="299"/>
      <c r="KTM37" s="299"/>
      <c r="KTN37" s="299"/>
      <c r="KTO37" s="299"/>
      <c r="KTP37" s="299"/>
      <c r="KTQ37" s="299"/>
      <c r="KTR37" s="299"/>
      <c r="KTS37" s="299"/>
      <c r="KTT37" s="299"/>
      <c r="KTU37" s="299"/>
      <c r="KTV37" s="299"/>
      <c r="KTW37" s="299"/>
      <c r="KTX37" s="299"/>
      <c r="KTY37" s="299"/>
      <c r="KTZ37" s="299"/>
      <c r="KUA37" s="299"/>
      <c r="KUB37" s="299"/>
      <c r="KUC37" s="299"/>
      <c r="KUD37" s="299"/>
      <c r="KUE37" s="299"/>
      <c r="KUF37" s="299"/>
      <c r="KUG37" s="299"/>
      <c r="KUH37" s="299"/>
      <c r="KUI37" s="299"/>
      <c r="KUJ37" s="299"/>
      <c r="KUK37" s="299"/>
      <c r="KUL37" s="299"/>
      <c r="KUM37" s="299"/>
      <c r="KUN37" s="299"/>
      <c r="KUO37" s="299"/>
      <c r="KUP37" s="299"/>
      <c r="KUQ37" s="299"/>
      <c r="KUR37" s="299"/>
      <c r="KUS37" s="299"/>
      <c r="KUT37" s="299"/>
      <c r="KUU37" s="299"/>
      <c r="KUV37" s="299"/>
      <c r="KUW37" s="299"/>
      <c r="KUX37" s="299"/>
      <c r="KUY37" s="299"/>
      <c r="KUZ37" s="299"/>
      <c r="KVA37" s="299"/>
      <c r="KVB37" s="299"/>
      <c r="KVC37" s="299"/>
      <c r="KVD37" s="299"/>
      <c r="KVE37" s="299"/>
      <c r="KVF37" s="299"/>
      <c r="KVG37" s="299"/>
      <c r="KVH37" s="299"/>
      <c r="KVI37" s="299"/>
      <c r="KVJ37" s="299"/>
      <c r="KVK37" s="299"/>
      <c r="KVL37" s="299"/>
      <c r="KVM37" s="299"/>
      <c r="KVN37" s="299"/>
      <c r="KVO37" s="299"/>
      <c r="KVP37" s="299"/>
      <c r="KVQ37" s="299"/>
      <c r="KVR37" s="299"/>
      <c r="KVS37" s="299"/>
      <c r="KVT37" s="299"/>
      <c r="KVU37" s="299"/>
      <c r="KVV37" s="299"/>
      <c r="KVW37" s="299"/>
      <c r="KVX37" s="299"/>
      <c r="KVY37" s="299"/>
      <c r="KVZ37" s="299"/>
      <c r="KWA37" s="299"/>
      <c r="KWB37" s="299"/>
      <c r="KWC37" s="299"/>
      <c r="KWD37" s="299"/>
      <c r="KWE37" s="299"/>
      <c r="KWF37" s="299"/>
      <c r="KWG37" s="299"/>
      <c r="KWH37" s="299"/>
      <c r="KWI37" s="299"/>
      <c r="KWJ37" s="299"/>
      <c r="KWK37" s="299"/>
      <c r="KWL37" s="299"/>
      <c r="KWM37" s="299"/>
      <c r="KWN37" s="299"/>
      <c r="KWO37" s="299"/>
      <c r="KWP37" s="299"/>
      <c r="KWQ37" s="299"/>
      <c r="KWR37" s="299"/>
      <c r="KWS37" s="299"/>
      <c r="KWT37" s="299"/>
      <c r="KWU37" s="299"/>
      <c r="KWV37" s="299"/>
      <c r="KWW37" s="299"/>
      <c r="KWX37" s="299"/>
      <c r="KWY37" s="299"/>
      <c r="KWZ37" s="299"/>
      <c r="KXA37" s="299"/>
      <c r="KXB37" s="299"/>
      <c r="KXC37" s="299"/>
      <c r="KXD37" s="299"/>
      <c r="KXE37" s="299"/>
      <c r="KXF37" s="299"/>
      <c r="KXG37" s="299"/>
      <c r="KXH37" s="299"/>
      <c r="KXI37" s="299"/>
      <c r="KXJ37" s="299"/>
      <c r="KXK37" s="299"/>
      <c r="KXL37" s="299"/>
      <c r="KXM37" s="299"/>
      <c r="KXN37" s="299"/>
      <c r="KXO37" s="299"/>
      <c r="KXP37" s="299"/>
      <c r="KXQ37" s="299"/>
      <c r="KXR37" s="299"/>
      <c r="KXS37" s="299"/>
      <c r="KXT37" s="299"/>
      <c r="KXU37" s="299"/>
      <c r="KXV37" s="299"/>
      <c r="KXW37" s="299"/>
      <c r="KXX37" s="299"/>
      <c r="KXY37" s="299"/>
      <c r="KXZ37" s="299"/>
      <c r="KYA37" s="299"/>
      <c r="KYB37" s="299"/>
      <c r="KYC37" s="299"/>
      <c r="KYD37" s="299"/>
      <c r="KYE37" s="299"/>
      <c r="KYF37" s="299"/>
      <c r="KYG37" s="299"/>
      <c r="KYH37" s="299"/>
      <c r="KYI37" s="299"/>
      <c r="KYJ37" s="299"/>
      <c r="KYK37" s="299"/>
      <c r="KYL37" s="299"/>
      <c r="KYM37" s="299"/>
      <c r="KYN37" s="299"/>
      <c r="KYO37" s="299"/>
      <c r="KYP37" s="299"/>
      <c r="KYQ37" s="299"/>
      <c r="KYR37" s="299"/>
      <c r="KYS37" s="299"/>
      <c r="KYT37" s="299"/>
      <c r="KYU37" s="299"/>
      <c r="KYV37" s="299"/>
      <c r="KYW37" s="299"/>
      <c r="KYX37" s="299"/>
      <c r="KYY37" s="299"/>
      <c r="KYZ37" s="299"/>
      <c r="KZA37" s="299"/>
      <c r="KZB37" s="299"/>
      <c r="KZC37" s="299"/>
      <c r="KZD37" s="299"/>
      <c r="KZE37" s="299"/>
      <c r="KZF37" s="299"/>
      <c r="KZG37" s="299"/>
      <c r="KZH37" s="299"/>
      <c r="KZI37" s="299"/>
      <c r="KZJ37" s="299"/>
      <c r="KZK37" s="299"/>
      <c r="KZL37" s="299"/>
      <c r="KZM37" s="299"/>
      <c r="KZN37" s="299"/>
      <c r="KZO37" s="299"/>
      <c r="KZP37" s="299"/>
      <c r="KZQ37" s="299"/>
      <c r="KZR37" s="299"/>
      <c r="KZS37" s="299"/>
      <c r="KZT37" s="299"/>
      <c r="KZU37" s="299"/>
      <c r="KZV37" s="299"/>
      <c r="KZW37" s="299"/>
      <c r="KZX37" s="299"/>
      <c r="KZY37" s="299"/>
      <c r="KZZ37" s="299"/>
      <c r="LAA37" s="299"/>
      <c r="LAB37" s="299"/>
      <c r="LAC37" s="299"/>
      <c r="LAD37" s="299"/>
      <c r="LAE37" s="299"/>
      <c r="LAF37" s="299"/>
      <c r="LAG37" s="299"/>
      <c r="LAH37" s="299"/>
      <c r="LAI37" s="299"/>
      <c r="LAJ37" s="299"/>
      <c r="LAK37" s="299"/>
      <c r="LAL37" s="299"/>
      <c r="LAM37" s="299"/>
      <c r="LAN37" s="299"/>
      <c r="LAO37" s="299"/>
      <c r="LAP37" s="299"/>
      <c r="LAQ37" s="299"/>
      <c r="LAR37" s="299"/>
      <c r="LAS37" s="299"/>
      <c r="LAT37" s="299"/>
      <c r="LAU37" s="299"/>
      <c r="LAV37" s="299"/>
      <c r="LAW37" s="299"/>
      <c r="LAX37" s="299"/>
      <c r="LAY37" s="299"/>
      <c r="LAZ37" s="299"/>
      <c r="LBA37" s="299"/>
      <c r="LBB37" s="299"/>
      <c r="LBC37" s="299"/>
      <c r="LBD37" s="299"/>
      <c r="LBE37" s="299"/>
      <c r="LBF37" s="299"/>
      <c r="LBG37" s="299"/>
      <c r="LBH37" s="299"/>
      <c r="LBI37" s="299"/>
      <c r="LBJ37" s="299"/>
      <c r="LBK37" s="299"/>
      <c r="LBL37" s="299"/>
      <c r="LBM37" s="299"/>
      <c r="LBN37" s="299"/>
      <c r="LBO37" s="299"/>
      <c r="LBP37" s="299"/>
      <c r="LBQ37" s="299"/>
      <c r="LBR37" s="299"/>
      <c r="LBS37" s="299"/>
      <c r="LBT37" s="299"/>
      <c r="LBU37" s="299"/>
      <c r="LBV37" s="299"/>
      <c r="LBW37" s="299"/>
      <c r="LBX37" s="299"/>
      <c r="LBY37" s="299"/>
      <c r="LBZ37" s="299"/>
      <c r="LCA37" s="299"/>
      <c r="LCB37" s="299"/>
      <c r="LCC37" s="299"/>
      <c r="LCD37" s="299"/>
      <c r="LCE37" s="299"/>
      <c r="LCF37" s="299"/>
      <c r="LCG37" s="299"/>
      <c r="LCH37" s="299"/>
      <c r="LCI37" s="299"/>
      <c r="LCJ37" s="299"/>
      <c r="LCK37" s="299"/>
      <c r="LCL37" s="299"/>
      <c r="LCM37" s="299"/>
      <c r="LCN37" s="299"/>
      <c r="LCO37" s="299"/>
      <c r="LCP37" s="299"/>
      <c r="LCQ37" s="299"/>
      <c r="LCR37" s="299"/>
      <c r="LCS37" s="299"/>
      <c r="LCT37" s="299"/>
      <c r="LCU37" s="299"/>
      <c r="LCV37" s="299"/>
      <c r="LCW37" s="299"/>
      <c r="LCX37" s="299"/>
      <c r="LCY37" s="299"/>
      <c r="LCZ37" s="299"/>
      <c r="LDA37" s="299"/>
      <c r="LDB37" s="299"/>
      <c r="LDC37" s="299"/>
      <c r="LDD37" s="299"/>
      <c r="LDE37" s="299"/>
      <c r="LDF37" s="299"/>
      <c r="LDG37" s="299"/>
      <c r="LDH37" s="299"/>
      <c r="LDI37" s="299"/>
      <c r="LDJ37" s="299"/>
      <c r="LDK37" s="299"/>
      <c r="LDL37" s="299"/>
      <c r="LDM37" s="299"/>
      <c r="LDN37" s="299"/>
      <c r="LDO37" s="299"/>
      <c r="LDP37" s="299"/>
      <c r="LDQ37" s="299"/>
      <c r="LDR37" s="299"/>
      <c r="LDS37" s="299"/>
      <c r="LDT37" s="299"/>
      <c r="LDU37" s="299"/>
      <c r="LDV37" s="299"/>
      <c r="LDW37" s="299"/>
      <c r="LDX37" s="299"/>
      <c r="LDY37" s="299"/>
      <c r="LDZ37" s="299"/>
      <c r="LEA37" s="299"/>
      <c r="LEB37" s="299"/>
      <c r="LEC37" s="299"/>
      <c r="LED37" s="299"/>
      <c r="LEE37" s="299"/>
      <c r="LEF37" s="299"/>
      <c r="LEG37" s="299"/>
      <c r="LEH37" s="299"/>
      <c r="LEI37" s="299"/>
      <c r="LEJ37" s="299"/>
      <c r="LEK37" s="299"/>
      <c r="LEL37" s="299"/>
      <c r="LEM37" s="299"/>
      <c r="LEN37" s="299"/>
      <c r="LEO37" s="299"/>
      <c r="LEP37" s="299"/>
      <c r="LEQ37" s="299"/>
      <c r="LER37" s="299"/>
      <c r="LES37" s="299"/>
      <c r="LET37" s="299"/>
      <c r="LEU37" s="299"/>
      <c r="LEV37" s="299"/>
      <c r="LEW37" s="299"/>
      <c r="LEX37" s="299"/>
      <c r="LEY37" s="299"/>
      <c r="LEZ37" s="299"/>
      <c r="LFA37" s="299"/>
      <c r="LFB37" s="299"/>
      <c r="LFC37" s="299"/>
      <c r="LFD37" s="299"/>
      <c r="LFE37" s="299"/>
      <c r="LFF37" s="299"/>
      <c r="LFG37" s="299"/>
      <c r="LFH37" s="299"/>
      <c r="LFI37" s="299"/>
      <c r="LFJ37" s="299"/>
      <c r="LFK37" s="299"/>
      <c r="LFL37" s="299"/>
      <c r="LFM37" s="299"/>
      <c r="LFN37" s="299"/>
      <c r="LFO37" s="299"/>
      <c r="LFP37" s="299"/>
      <c r="LFQ37" s="299"/>
      <c r="LFR37" s="299"/>
      <c r="LFS37" s="299"/>
      <c r="LFT37" s="299"/>
      <c r="LFU37" s="299"/>
      <c r="LFV37" s="299"/>
      <c r="LFW37" s="299"/>
      <c r="LFX37" s="299"/>
      <c r="LFY37" s="299"/>
      <c r="LFZ37" s="299"/>
      <c r="LGA37" s="299"/>
      <c r="LGB37" s="299"/>
      <c r="LGC37" s="299"/>
      <c r="LGD37" s="299"/>
      <c r="LGE37" s="299"/>
      <c r="LGF37" s="299"/>
      <c r="LGG37" s="299"/>
      <c r="LGH37" s="299"/>
      <c r="LGI37" s="299"/>
      <c r="LGJ37" s="299"/>
      <c r="LGK37" s="299"/>
      <c r="LGL37" s="299"/>
      <c r="LGM37" s="299"/>
      <c r="LGN37" s="299"/>
      <c r="LGO37" s="299"/>
      <c r="LGP37" s="299"/>
      <c r="LGQ37" s="299"/>
      <c r="LGR37" s="299"/>
      <c r="LGS37" s="299"/>
      <c r="LGT37" s="299"/>
      <c r="LGU37" s="299"/>
      <c r="LGV37" s="299"/>
      <c r="LGW37" s="299"/>
      <c r="LGX37" s="299"/>
      <c r="LGY37" s="299"/>
      <c r="LGZ37" s="299"/>
      <c r="LHA37" s="299"/>
      <c r="LHB37" s="299"/>
      <c r="LHC37" s="299"/>
      <c r="LHD37" s="299"/>
      <c r="LHE37" s="299"/>
      <c r="LHF37" s="299"/>
      <c r="LHG37" s="299"/>
      <c r="LHH37" s="299"/>
      <c r="LHI37" s="299"/>
      <c r="LHJ37" s="299"/>
      <c r="LHK37" s="299"/>
      <c r="LHL37" s="299"/>
      <c r="LHM37" s="299"/>
      <c r="LHN37" s="299"/>
      <c r="LHO37" s="299"/>
      <c r="LHP37" s="299"/>
      <c r="LHQ37" s="299"/>
      <c r="LHR37" s="299"/>
      <c r="LHS37" s="299"/>
      <c r="LHT37" s="299"/>
      <c r="LHU37" s="299"/>
      <c r="LHV37" s="299"/>
      <c r="LHW37" s="299"/>
      <c r="LHX37" s="299"/>
      <c r="LHY37" s="299"/>
      <c r="LHZ37" s="299"/>
      <c r="LIA37" s="299"/>
      <c r="LIB37" s="299"/>
      <c r="LIC37" s="299"/>
      <c r="LID37" s="299"/>
      <c r="LIE37" s="299"/>
      <c r="LIF37" s="299"/>
      <c r="LIG37" s="299"/>
      <c r="LIH37" s="299"/>
      <c r="LII37" s="299"/>
      <c r="LIJ37" s="299"/>
      <c r="LIK37" s="299"/>
      <c r="LIL37" s="299"/>
      <c r="LIM37" s="299"/>
      <c r="LIN37" s="299"/>
      <c r="LIO37" s="299"/>
      <c r="LIP37" s="299"/>
      <c r="LIQ37" s="299"/>
      <c r="LIR37" s="299"/>
      <c r="LIS37" s="299"/>
      <c r="LIT37" s="299"/>
      <c r="LIU37" s="299"/>
      <c r="LIV37" s="299"/>
      <c r="LIW37" s="299"/>
      <c r="LIX37" s="299"/>
      <c r="LIY37" s="299"/>
      <c r="LIZ37" s="299"/>
      <c r="LJA37" s="299"/>
      <c r="LJB37" s="299"/>
      <c r="LJC37" s="299"/>
      <c r="LJD37" s="299"/>
      <c r="LJE37" s="299"/>
      <c r="LJF37" s="299"/>
      <c r="LJG37" s="299"/>
      <c r="LJH37" s="299"/>
      <c r="LJI37" s="299"/>
      <c r="LJJ37" s="299"/>
      <c r="LJK37" s="299"/>
      <c r="LJL37" s="299"/>
      <c r="LJM37" s="299"/>
      <c r="LJN37" s="299"/>
      <c r="LJO37" s="299"/>
      <c r="LJP37" s="299"/>
      <c r="LJQ37" s="299"/>
      <c r="LJR37" s="299"/>
      <c r="LJS37" s="299"/>
      <c r="LJT37" s="299"/>
      <c r="LJU37" s="299"/>
      <c r="LJV37" s="299"/>
      <c r="LJW37" s="299"/>
      <c r="LJX37" s="299"/>
      <c r="LJY37" s="299"/>
      <c r="LJZ37" s="299"/>
      <c r="LKA37" s="299"/>
      <c r="LKB37" s="299"/>
      <c r="LKC37" s="299"/>
      <c r="LKD37" s="299"/>
      <c r="LKE37" s="299"/>
      <c r="LKF37" s="299"/>
      <c r="LKG37" s="299"/>
      <c r="LKH37" s="299"/>
      <c r="LKI37" s="299"/>
      <c r="LKJ37" s="299"/>
      <c r="LKK37" s="299"/>
      <c r="LKL37" s="299"/>
      <c r="LKM37" s="299"/>
      <c r="LKN37" s="299"/>
      <c r="LKO37" s="299"/>
      <c r="LKP37" s="299"/>
      <c r="LKQ37" s="299"/>
      <c r="LKR37" s="299"/>
      <c r="LKS37" s="299"/>
      <c r="LKT37" s="299"/>
      <c r="LKU37" s="299"/>
      <c r="LKV37" s="299"/>
      <c r="LKW37" s="299"/>
      <c r="LKX37" s="299"/>
      <c r="LKY37" s="299"/>
      <c r="LKZ37" s="299"/>
      <c r="LLA37" s="299"/>
      <c r="LLB37" s="299"/>
      <c r="LLC37" s="299"/>
      <c r="LLD37" s="299"/>
      <c r="LLE37" s="299"/>
      <c r="LLF37" s="299"/>
      <c r="LLG37" s="299"/>
      <c r="LLH37" s="299"/>
      <c r="LLI37" s="299"/>
      <c r="LLJ37" s="299"/>
      <c r="LLK37" s="299"/>
      <c r="LLL37" s="299"/>
      <c r="LLM37" s="299"/>
      <c r="LLN37" s="299"/>
      <c r="LLO37" s="299"/>
      <c r="LLP37" s="299"/>
      <c r="LLQ37" s="299"/>
      <c r="LLR37" s="299"/>
      <c r="LLS37" s="299"/>
      <c r="LLT37" s="299"/>
      <c r="LLU37" s="299"/>
      <c r="LLV37" s="299"/>
      <c r="LLW37" s="299"/>
      <c r="LLX37" s="299"/>
      <c r="LLY37" s="299"/>
      <c r="LLZ37" s="299"/>
      <c r="LMA37" s="299"/>
      <c r="LMB37" s="299"/>
      <c r="LMC37" s="299"/>
      <c r="LMD37" s="299"/>
      <c r="LME37" s="299"/>
      <c r="LMF37" s="299"/>
      <c r="LMG37" s="299"/>
      <c r="LMH37" s="299"/>
      <c r="LMI37" s="299"/>
      <c r="LMJ37" s="299"/>
      <c r="LMK37" s="299"/>
      <c r="LML37" s="299"/>
      <c r="LMM37" s="299"/>
      <c r="LMN37" s="299"/>
      <c r="LMO37" s="299"/>
      <c r="LMP37" s="299"/>
      <c r="LMQ37" s="299"/>
      <c r="LMR37" s="299"/>
      <c r="LMS37" s="299"/>
      <c r="LMT37" s="299"/>
      <c r="LMU37" s="299"/>
      <c r="LMV37" s="299"/>
      <c r="LMW37" s="299"/>
      <c r="LMX37" s="299"/>
      <c r="LMY37" s="299"/>
      <c r="LMZ37" s="299"/>
      <c r="LNA37" s="299"/>
      <c r="LNB37" s="299"/>
      <c r="LNC37" s="299"/>
      <c r="LND37" s="299"/>
      <c r="LNE37" s="299"/>
      <c r="LNF37" s="299"/>
      <c r="LNG37" s="299"/>
      <c r="LNH37" s="299"/>
      <c r="LNI37" s="299"/>
      <c r="LNJ37" s="299"/>
      <c r="LNK37" s="299"/>
      <c r="LNL37" s="299"/>
      <c r="LNM37" s="299"/>
      <c r="LNN37" s="299"/>
      <c r="LNO37" s="299"/>
      <c r="LNP37" s="299"/>
      <c r="LNQ37" s="299"/>
      <c r="LNR37" s="299"/>
      <c r="LNS37" s="299"/>
      <c r="LNT37" s="299"/>
      <c r="LNU37" s="299"/>
      <c r="LNV37" s="299"/>
      <c r="LNW37" s="299"/>
      <c r="LNX37" s="299"/>
      <c r="LNY37" s="299"/>
      <c r="LNZ37" s="299"/>
      <c r="LOA37" s="299"/>
      <c r="LOB37" s="299"/>
      <c r="LOC37" s="299"/>
      <c r="LOD37" s="299"/>
      <c r="LOE37" s="299"/>
      <c r="LOF37" s="299"/>
      <c r="LOG37" s="299"/>
      <c r="LOH37" s="299"/>
      <c r="LOI37" s="299"/>
      <c r="LOJ37" s="299"/>
      <c r="LOK37" s="299"/>
      <c r="LOL37" s="299"/>
      <c r="LOM37" s="299"/>
      <c r="LON37" s="299"/>
      <c r="LOO37" s="299"/>
      <c r="LOP37" s="299"/>
      <c r="LOQ37" s="299"/>
      <c r="LOR37" s="299"/>
      <c r="LOS37" s="299"/>
      <c r="LOT37" s="299"/>
      <c r="LOU37" s="299"/>
      <c r="LOV37" s="299"/>
      <c r="LOW37" s="299"/>
      <c r="LOX37" s="299"/>
      <c r="LOY37" s="299"/>
      <c r="LOZ37" s="299"/>
      <c r="LPA37" s="299"/>
      <c r="LPB37" s="299"/>
      <c r="LPC37" s="299"/>
      <c r="LPD37" s="299"/>
      <c r="LPE37" s="299"/>
      <c r="LPF37" s="299"/>
      <c r="LPG37" s="299"/>
      <c r="LPH37" s="299"/>
      <c r="LPI37" s="299"/>
      <c r="LPJ37" s="299"/>
      <c r="LPK37" s="299"/>
      <c r="LPL37" s="299"/>
      <c r="LPM37" s="299"/>
      <c r="LPN37" s="299"/>
      <c r="LPO37" s="299"/>
      <c r="LPP37" s="299"/>
      <c r="LPQ37" s="299"/>
      <c r="LPR37" s="299"/>
      <c r="LPS37" s="299"/>
      <c r="LPT37" s="299"/>
      <c r="LPU37" s="299"/>
      <c r="LPV37" s="299"/>
      <c r="LPW37" s="299"/>
      <c r="LPX37" s="299"/>
      <c r="LPY37" s="299"/>
      <c r="LPZ37" s="299"/>
      <c r="LQA37" s="299"/>
      <c r="LQB37" s="299"/>
      <c r="LQC37" s="299"/>
      <c r="LQD37" s="299"/>
      <c r="LQE37" s="299"/>
      <c r="LQF37" s="299"/>
      <c r="LQG37" s="299"/>
      <c r="LQH37" s="299"/>
      <c r="LQI37" s="299"/>
      <c r="LQJ37" s="299"/>
      <c r="LQK37" s="299"/>
      <c r="LQL37" s="299"/>
      <c r="LQM37" s="299"/>
      <c r="LQN37" s="299"/>
      <c r="LQO37" s="299"/>
      <c r="LQP37" s="299"/>
      <c r="LQQ37" s="299"/>
      <c r="LQR37" s="299"/>
      <c r="LQS37" s="299"/>
      <c r="LQT37" s="299"/>
      <c r="LQU37" s="299"/>
      <c r="LQV37" s="299"/>
      <c r="LQW37" s="299"/>
      <c r="LQX37" s="299"/>
      <c r="LQY37" s="299"/>
      <c r="LQZ37" s="299"/>
      <c r="LRA37" s="299"/>
      <c r="LRB37" s="299"/>
      <c r="LRC37" s="299"/>
      <c r="LRD37" s="299"/>
      <c r="LRE37" s="299"/>
      <c r="LRF37" s="299"/>
      <c r="LRG37" s="299"/>
      <c r="LRH37" s="299"/>
      <c r="LRI37" s="299"/>
      <c r="LRJ37" s="299"/>
      <c r="LRK37" s="299"/>
      <c r="LRL37" s="299"/>
      <c r="LRM37" s="299"/>
      <c r="LRN37" s="299"/>
      <c r="LRO37" s="299"/>
      <c r="LRP37" s="299"/>
      <c r="LRQ37" s="299"/>
      <c r="LRR37" s="299"/>
      <c r="LRS37" s="299"/>
      <c r="LRT37" s="299"/>
      <c r="LRU37" s="299"/>
      <c r="LRV37" s="299"/>
      <c r="LRW37" s="299"/>
      <c r="LRX37" s="299"/>
      <c r="LRY37" s="299"/>
      <c r="LRZ37" s="299"/>
      <c r="LSA37" s="299"/>
      <c r="LSB37" s="299"/>
      <c r="LSC37" s="299"/>
      <c r="LSD37" s="299"/>
      <c r="LSE37" s="299"/>
      <c r="LSF37" s="299"/>
      <c r="LSG37" s="299"/>
      <c r="LSH37" s="299"/>
      <c r="LSI37" s="299"/>
      <c r="LSJ37" s="299"/>
      <c r="LSK37" s="299"/>
      <c r="LSL37" s="299"/>
      <c r="LSM37" s="299"/>
      <c r="LSN37" s="299"/>
      <c r="LSO37" s="299"/>
      <c r="LSP37" s="299"/>
      <c r="LSQ37" s="299"/>
      <c r="LSR37" s="299"/>
      <c r="LSS37" s="299"/>
      <c r="LST37" s="299"/>
      <c r="LSU37" s="299"/>
      <c r="LSV37" s="299"/>
      <c r="LSW37" s="299"/>
      <c r="LSX37" s="299"/>
      <c r="LSY37" s="299"/>
      <c r="LSZ37" s="299"/>
      <c r="LTA37" s="299"/>
      <c r="LTB37" s="299"/>
      <c r="LTC37" s="299"/>
      <c r="LTD37" s="299"/>
      <c r="LTE37" s="299"/>
      <c r="LTF37" s="299"/>
      <c r="LTG37" s="299"/>
      <c r="LTH37" s="299"/>
      <c r="LTI37" s="299"/>
      <c r="LTJ37" s="299"/>
      <c r="LTK37" s="299"/>
      <c r="LTL37" s="299"/>
      <c r="LTM37" s="299"/>
      <c r="LTN37" s="299"/>
      <c r="LTO37" s="299"/>
      <c r="LTP37" s="299"/>
      <c r="LTQ37" s="299"/>
      <c r="LTR37" s="299"/>
      <c r="LTS37" s="299"/>
      <c r="LTT37" s="299"/>
      <c r="LTU37" s="299"/>
      <c r="LTV37" s="299"/>
      <c r="LTW37" s="299"/>
      <c r="LTX37" s="299"/>
      <c r="LTY37" s="299"/>
      <c r="LTZ37" s="299"/>
      <c r="LUA37" s="299"/>
      <c r="LUB37" s="299"/>
      <c r="LUC37" s="299"/>
      <c r="LUD37" s="299"/>
      <c r="LUE37" s="299"/>
      <c r="LUF37" s="299"/>
      <c r="LUG37" s="299"/>
      <c r="LUH37" s="299"/>
      <c r="LUI37" s="299"/>
      <c r="LUJ37" s="299"/>
      <c r="LUK37" s="299"/>
      <c r="LUL37" s="299"/>
      <c r="LUM37" s="299"/>
      <c r="LUN37" s="299"/>
      <c r="LUO37" s="299"/>
      <c r="LUP37" s="299"/>
      <c r="LUQ37" s="299"/>
      <c r="LUR37" s="299"/>
      <c r="LUS37" s="299"/>
      <c r="LUT37" s="299"/>
      <c r="LUU37" s="299"/>
      <c r="LUV37" s="299"/>
      <c r="LUW37" s="299"/>
      <c r="LUX37" s="299"/>
      <c r="LUY37" s="299"/>
      <c r="LUZ37" s="299"/>
      <c r="LVA37" s="299"/>
      <c r="LVB37" s="299"/>
      <c r="LVC37" s="299"/>
      <c r="LVD37" s="299"/>
      <c r="LVE37" s="299"/>
      <c r="LVF37" s="299"/>
      <c r="LVG37" s="299"/>
      <c r="LVH37" s="299"/>
      <c r="LVI37" s="299"/>
      <c r="LVJ37" s="299"/>
      <c r="LVK37" s="299"/>
      <c r="LVL37" s="299"/>
      <c r="LVM37" s="299"/>
      <c r="LVN37" s="299"/>
      <c r="LVO37" s="299"/>
      <c r="LVP37" s="299"/>
      <c r="LVQ37" s="299"/>
      <c r="LVR37" s="299"/>
      <c r="LVS37" s="299"/>
      <c r="LVT37" s="299"/>
      <c r="LVU37" s="299"/>
      <c r="LVV37" s="299"/>
      <c r="LVW37" s="299"/>
      <c r="LVX37" s="299"/>
      <c r="LVY37" s="299"/>
      <c r="LVZ37" s="299"/>
      <c r="LWA37" s="299"/>
      <c r="LWB37" s="299"/>
      <c r="LWC37" s="299"/>
      <c r="LWD37" s="299"/>
      <c r="LWE37" s="299"/>
      <c r="LWF37" s="299"/>
      <c r="LWG37" s="299"/>
      <c r="LWH37" s="299"/>
      <c r="LWI37" s="299"/>
      <c r="LWJ37" s="299"/>
      <c r="LWK37" s="299"/>
      <c r="LWL37" s="299"/>
      <c r="LWM37" s="299"/>
      <c r="LWN37" s="299"/>
      <c r="LWO37" s="299"/>
      <c r="LWP37" s="299"/>
      <c r="LWQ37" s="299"/>
      <c r="LWR37" s="299"/>
      <c r="LWS37" s="299"/>
      <c r="LWT37" s="299"/>
      <c r="LWU37" s="299"/>
      <c r="LWV37" s="299"/>
      <c r="LWW37" s="299"/>
      <c r="LWX37" s="299"/>
      <c r="LWY37" s="299"/>
      <c r="LWZ37" s="299"/>
      <c r="LXA37" s="299"/>
      <c r="LXB37" s="299"/>
      <c r="LXC37" s="299"/>
      <c r="LXD37" s="299"/>
      <c r="LXE37" s="299"/>
      <c r="LXF37" s="299"/>
      <c r="LXG37" s="299"/>
      <c r="LXH37" s="299"/>
      <c r="LXI37" s="299"/>
      <c r="LXJ37" s="299"/>
      <c r="LXK37" s="299"/>
      <c r="LXL37" s="299"/>
      <c r="LXM37" s="299"/>
      <c r="LXN37" s="299"/>
      <c r="LXO37" s="299"/>
      <c r="LXP37" s="299"/>
      <c r="LXQ37" s="299"/>
      <c r="LXR37" s="299"/>
      <c r="LXS37" s="299"/>
      <c r="LXT37" s="299"/>
      <c r="LXU37" s="299"/>
      <c r="LXV37" s="299"/>
      <c r="LXW37" s="299"/>
      <c r="LXX37" s="299"/>
      <c r="LXY37" s="299"/>
      <c r="LXZ37" s="299"/>
      <c r="LYA37" s="299"/>
      <c r="LYB37" s="299"/>
      <c r="LYC37" s="299"/>
      <c r="LYD37" s="299"/>
      <c r="LYE37" s="299"/>
      <c r="LYF37" s="299"/>
      <c r="LYG37" s="299"/>
      <c r="LYH37" s="299"/>
      <c r="LYI37" s="299"/>
      <c r="LYJ37" s="299"/>
      <c r="LYK37" s="299"/>
      <c r="LYL37" s="299"/>
      <c r="LYM37" s="299"/>
      <c r="LYN37" s="299"/>
      <c r="LYO37" s="299"/>
      <c r="LYP37" s="299"/>
      <c r="LYQ37" s="299"/>
      <c r="LYR37" s="299"/>
      <c r="LYS37" s="299"/>
      <c r="LYT37" s="299"/>
      <c r="LYU37" s="299"/>
      <c r="LYV37" s="299"/>
      <c r="LYW37" s="299"/>
      <c r="LYX37" s="299"/>
      <c r="LYY37" s="299"/>
      <c r="LYZ37" s="299"/>
      <c r="LZA37" s="299"/>
      <c r="LZB37" s="299"/>
      <c r="LZC37" s="299"/>
      <c r="LZD37" s="299"/>
      <c r="LZE37" s="299"/>
      <c r="LZF37" s="299"/>
      <c r="LZG37" s="299"/>
      <c r="LZH37" s="299"/>
      <c r="LZI37" s="299"/>
      <c r="LZJ37" s="299"/>
      <c r="LZK37" s="299"/>
      <c r="LZL37" s="299"/>
      <c r="LZM37" s="299"/>
      <c r="LZN37" s="299"/>
      <c r="LZO37" s="299"/>
      <c r="LZP37" s="299"/>
      <c r="LZQ37" s="299"/>
      <c r="LZR37" s="299"/>
      <c r="LZS37" s="299"/>
      <c r="LZT37" s="299"/>
      <c r="LZU37" s="299"/>
      <c r="LZV37" s="299"/>
      <c r="LZW37" s="299"/>
      <c r="LZX37" s="299"/>
      <c r="LZY37" s="299"/>
      <c r="LZZ37" s="299"/>
      <c r="MAA37" s="299"/>
      <c r="MAB37" s="299"/>
      <c r="MAC37" s="299"/>
      <c r="MAD37" s="299"/>
      <c r="MAE37" s="299"/>
      <c r="MAF37" s="299"/>
      <c r="MAG37" s="299"/>
      <c r="MAH37" s="299"/>
      <c r="MAI37" s="299"/>
      <c r="MAJ37" s="299"/>
      <c r="MAK37" s="299"/>
      <c r="MAL37" s="299"/>
      <c r="MAM37" s="299"/>
      <c r="MAN37" s="299"/>
      <c r="MAO37" s="299"/>
      <c r="MAP37" s="299"/>
      <c r="MAQ37" s="299"/>
      <c r="MAR37" s="299"/>
      <c r="MAS37" s="299"/>
      <c r="MAT37" s="299"/>
      <c r="MAU37" s="299"/>
      <c r="MAV37" s="299"/>
      <c r="MAW37" s="299"/>
      <c r="MAX37" s="299"/>
      <c r="MAY37" s="299"/>
      <c r="MAZ37" s="299"/>
      <c r="MBA37" s="299"/>
      <c r="MBB37" s="299"/>
      <c r="MBC37" s="299"/>
      <c r="MBD37" s="299"/>
      <c r="MBE37" s="299"/>
      <c r="MBF37" s="299"/>
      <c r="MBG37" s="299"/>
      <c r="MBH37" s="299"/>
      <c r="MBI37" s="299"/>
      <c r="MBJ37" s="299"/>
      <c r="MBK37" s="299"/>
      <c r="MBL37" s="299"/>
      <c r="MBM37" s="299"/>
      <c r="MBN37" s="299"/>
      <c r="MBO37" s="299"/>
      <c r="MBP37" s="299"/>
      <c r="MBQ37" s="299"/>
      <c r="MBR37" s="299"/>
      <c r="MBS37" s="299"/>
      <c r="MBT37" s="299"/>
      <c r="MBU37" s="299"/>
      <c r="MBV37" s="299"/>
      <c r="MBW37" s="299"/>
      <c r="MBX37" s="299"/>
      <c r="MBY37" s="299"/>
      <c r="MBZ37" s="299"/>
      <c r="MCA37" s="299"/>
      <c r="MCB37" s="299"/>
      <c r="MCC37" s="299"/>
      <c r="MCD37" s="299"/>
      <c r="MCE37" s="299"/>
      <c r="MCF37" s="299"/>
      <c r="MCG37" s="299"/>
      <c r="MCH37" s="299"/>
      <c r="MCI37" s="299"/>
      <c r="MCJ37" s="299"/>
      <c r="MCK37" s="299"/>
      <c r="MCL37" s="299"/>
      <c r="MCM37" s="299"/>
      <c r="MCN37" s="299"/>
      <c r="MCO37" s="299"/>
      <c r="MCP37" s="299"/>
      <c r="MCQ37" s="299"/>
      <c r="MCR37" s="299"/>
      <c r="MCS37" s="299"/>
      <c r="MCT37" s="299"/>
      <c r="MCU37" s="299"/>
      <c r="MCV37" s="299"/>
      <c r="MCW37" s="299"/>
      <c r="MCX37" s="299"/>
      <c r="MCY37" s="299"/>
      <c r="MCZ37" s="299"/>
      <c r="MDA37" s="299"/>
      <c r="MDB37" s="299"/>
      <c r="MDC37" s="299"/>
      <c r="MDD37" s="299"/>
      <c r="MDE37" s="299"/>
      <c r="MDF37" s="299"/>
      <c r="MDG37" s="299"/>
      <c r="MDH37" s="299"/>
      <c r="MDI37" s="299"/>
      <c r="MDJ37" s="299"/>
      <c r="MDK37" s="299"/>
      <c r="MDL37" s="299"/>
      <c r="MDM37" s="299"/>
      <c r="MDN37" s="299"/>
      <c r="MDO37" s="299"/>
      <c r="MDP37" s="299"/>
      <c r="MDQ37" s="299"/>
      <c r="MDR37" s="299"/>
      <c r="MDS37" s="299"/>
      <c r="MDT37" s="299"/>
      <c r="MDU37" s="299"/>
      <c r="MDV37" s="299"/>
      <c r="MDW37" s="299"/>
      <c r="MDX37" s="299"/>
      <c r="MDY37" s="299"/>
      <c r="MDZ37" s="299"/>
      <c r="MEA37" s="299"/>
      <c r="MEB37" s="299"/>
      <c r="MEC37" s="299"/>
      <c r="MED37" s="299"/>
      <c r="MEE37" s="299"/>
      <c r="MEF37" s="299"/>
      <c r="MEG37" s="299"/>
      <c r="MEH37" s="299"/>
      <c r="MEI37" s="299"/>
      <c r="MEJ37" s="299"/>
      <c r="MEK37" s="299"/>
      <c r="MEL37" s="299"/>
      <c r="MEM37" s="299"/>
      <c r="MEN37" s="299"/>
      <c r="MEO37" s="299"/>
      <c r="MEP37" s="299"/>
      <c r="MEQ37" s="299"/>
      <c r="MER37" s="299"/>
      <c r="MES37" s="299"/>
      <c r="MET37" s="299"/>
      <c r="MEU37" s="299"/>
      <c r="MEV37" s="299"/>
      <c r="MEW37" s="299"/>
      <c r="MEX37" s="299"/>
      <c r="MEY37" s="299"/>
      <c r="MEZ37" s="299"/>
      <c r="MFA37" s="299"/>
      <c r="MFB37" s="299"/>
      <c r="MFC37" s="299"/>
      <c r="MFD37" s="299"/>
      <c r="MFE37" s="299"/>
      <c r="MFF37" s="299"/>
      <c r="MFG37" s="299"/>
      <c r="MFH37" s="299"/>
      <c r="MFI37" s="299"/>
      <c r="MFJ37" s="299"/>
      <c r="MFK37" s="299"/>
      <c r="MFL37" s="299"/>
      <c r="MFM37" s="299"/>
      <c r="MFN37" s="299"/>
      <c r="MFO37" s="299"/>
      <c r="MFP37" s="299"/>
      <c r="MFQ37" s="299"/>
      <c r="MFR37" s="299"/>
      <c r="MFS37" s="299"/>
      <c r="MFT37" s="299"/>
      <c r="MFU37" s="299"/>
      <c r="MFV37" s="299"/>
      <c r="MFW37" s="299"/>
      <c r="MFX37" s="299"/>
      <c r="MFY37" s="299"/>
      <c r="MFZ37" s="299"/>
      <c r="MGA37" s="299"/>
      <c r="MGB37" s="299"/>
      <c r="MGC37" s="299"/>
      <c r="MGD37" s="299"/>
      <c r="MGE37" s="299"/>
      <c r="MGF37" s="299"/>
      <c r="MGG37" s="299"/>
      <c r="MGH37" s="299"/>
      <c r="MGI37" s="299"/>
      <c r="MGJ37" s="299"/>
      <c r="MGK37" s="299"/>
      <c r="MGL37" s="299"/>
      <c r="MGM37" s="299"/>
      <c r="MGN37" s="299"/>
      <c r="MGO37" s="299"/>
      <c r="MGP37" s="299"/>
      <c r="MGQ37" s="299"/>
      <c r="MGR37" s="299"/>
      <c r="MGS37" s="299"/>
      <c r="MGT37" s="299"/>
      <c r="MGU37" s="299"/>
      <c r="MGV37" s="299"/>
      <c r="MGW37" s="299"/>
      <c r="MGX37" s="299"/>
      <c r="MGY37" s="299"/>
      <c r="MGZ37" s="299"/>
      <c r="MHA37" s="299"/>
      <c r="MHB37" s="299"/>
      <c r="MHC37" s="299"/>
      <c r="MHD37" s="299"/>
      <c r="MHE37" s="299"/>
      <c r="MHF37" s="299"/>
      <c r="MHG37" s="299"/>
      <c r="MHH37" s="299"/>
      <c r="MHI37" s="299"/>
      <c r="MHJ37" s="299"/>
      <c r="MHK37" s="299"/>
      <c r="MHL37" s="299"/>
      <c r="MHM37" s="299"/>
      <c r="MHN37" s="299"/>
      <c r="MHO37" s="299"/>
      <c r="MHP37" s="299"/>
      <c r="MHQ37" s="299"/>
      <c r="MHR37" s="299"/>
      <c r="MHS37" s="299"/>
      <c r="MHT37" s="299"/>
      <c r="MHU37" s="299"/>
      <c r="MHV37" s="299"/>
      <c r="MHW37" s="299"/>
      <c r="MHX37" s="299"/>
      <c r="MHY37" s="299"/>
      <c r="MHZ37" s="299"/>
      <c r="MIA37" s="299"/>
      <c r="MIB37" s="299"/>
      <c r="MIC37" s="299"/>
      <c r="MID37" s="299"/>
      <c r="MIE37" s="299"/>
      <c r="MIF37" s="299"/>
      <c r="MIG37" s="299"/>
      <c r="MIH37" s="299"/>
      <c r="MII37" s="299"/>
      <c r="MIJ37" s="299"/>
      <c r="MIK37" s="299"/>
      <c r="MIL37" s="299"/>
      <c r="MIM37" s="299"/>
      <c r="MIN37" s="299"/>
      <c r="MIO37" s="299"/>
      <c r="MIP37" s="299"/>
      <c r="MIQ37" s="299"/>
      <c r="MIR37" s="299"/>
      <c r="MIS37" s="299"/>
      <c r="MIT37" s="299"/>
      <c r="MIU37" s="299"/>
      <c r="MIV37" s="299"/>
      <c r="MIW37" s="299"/>
      <c r="MIX37" s="299"/>
      <c r="MIY37" s="299"/>
      <c r="MIZ37" s="299"/>
      <c r="MJA37" s="299"/>
      <c r="MJB37" s="299"/>
      <c r="MJC37" s="299"/>
      <c r="MJD37" s="299"/>
      <c r="MJE37" s="299"/>
      <c r="MJF37" s="299"/>
      <c r="MJG37" s="299"/>
      <c r="MJH37" s="299"/>
      <c r="MJI37" s="299"/>
      <c r="MJJ37" s="299"/>
      <c r="MJK37" s="299"/>
      <c r="MJL37" s="299"/>
      <c r="MJM37" s="299"/>
      <c r="MJN37" s="299"/>
      <c r="MJO37" s="299"/>
      <c r="MJP37" s="299"/>
      <c r="MJQ37" s="299"/>
      <c r="MJR37" s="299"/>
      <c r="MJS37" s="299"/>
      <c r="MJT37" s="299"/>
      <c r="MJU37" s="299"/>
      <c r="MJV37" s="299"/>
      <c r="MJW37" s="299"/>
      <c r="MJX37" s="299"/>
      <c r="MJY37" s="299"/>
      <c r="MJZ37" s="299"/>
      <c r="MKA37" s="299"/>
      <c r="MKB37" s="299"/>
      <c r="MKC37" s="299"/>
      <c r="MKD37" s="299"/>
      <c r="MKE37" s="299"/>
      <c r="MKF37" s="299"/>
      <c r="MKG37" s="299"/>
      <c r="MKH37" s="299"/>
      <c r="MKI37" s="299"/>
      <c r="MKJ37" s="299"/>
      <c r="MKK37" s="299"/>
      <c r="MKL37" s="299"/>
      <c r="MKM37" s="299"/>
      <c r="MKN37" s="299"/>
      <c r="MKO37" s="299"/>
      <c r="MKP37" s="299"/>
      <c r="MKQ37" s="299"/>
      <c r="MKR37" s="299"/>
      <c r="MKS37" s="299"/>
      <c r="MKT37" s="299"/>
      <c r="MKU37" s="299"/>
      <c r="MKV37" s="299"/>
      <c r="MKW37" s="299"/>
      <c r="MKX37" s="299"/>
      <c r="MKY37" s="299"/>
      <c r="MKZ37" s="299"/>
      <c r="MLA37" s="299"/>
      <c r="MLB37" s="299"/>
      <c r="MLC37" s="299"/>
      <c r="MLD37" s="299"/>
      <c r="MLE37" s="299"/>
      <c r="MLF37" s="299"/>
      <c r="MLG37" s="299"/>
      <c r="MLH37" s="299"/>
      <c r="MLI37" s="299"/>
      <c r="MLJ37" s="299"/>
      <c r="MLK37" s="299"/>
      <c r="MLL37" s="299"/>
      <c r="MLM37" s="299"/>
      <c r="MLN37" s="299"/>
      <c r="MLO37" s="299"/>
      <c r="MLP37" s="299"/>
      <c r="MLQ37" s="299"/>
      <c r="MLR37" s="299"/>
      <c r="MLS37" s="299"/>
      <c r="MLT37" s="299"/>
      <c r="MLU37" s="299"/>
      <c r="MLV37" s="299"/>
      <c r="MLW37" s="299"/>
      <c r="MLX37" s="299"/>
      <c r="MLY37" s="299"/>
      <c r="MLZ37" s="299"/>
      <c r="MMA37" s="299"/>
      <c r="MMB37" s="299"/>
      <c r="MMC37" s="299"/>
      <c r="MMD37" s="299"/>
      <c r="MME37" s="299"/>
      <c r="MMF37" s="299"/>
      <c r="MMG37" s="299"/>
      <c r="MMH37" s="299"/>
      <c r="MMI37" s="299"/>
      <c r="MMJ37" s="299"/>
      <c r="MMK37" s="299"/>
      <c r="MML37" s="299"/>
      <c r="MMM37" s="299"/>
      <c r="MMN37" s="299"/>
      <c r="MMO37" s="299"/>
      <c r="MMP37" s="299"/>
      <c r="MMQ37" s="299"/>
      <c r="MMR37" s="299"/>
      <c r="MMS37" s="299"/>
      <c r="MMT37" s="299"/>
      <c r="MMU37" s="299"/>
      <c r="MMV37" s="299"/>
      <c r="MMW37" s="299"/>
      <c r="MMX37" s="299"/>
      <c r="MMY37" s="299"/>
      <c r="MMZ37" s="299"/>
      <c r="MNA37" s="299"/>
      <c r="MNB37" s="299"/>
      <c r="MNC37" s="299"/>
      <c r="MND37" s="299"/>
      <c r="MNE37" s="299"/>
      <c r="MNF37" s="299"/>
      <c r="MNG37" s="299"/>
      <c r="MNH37" s="299"/>
      <c r="MNI37" s="299"/>
      <c r="MNJ37" s="299"/>
      <c r="MNK37" s="299"/>
      <c r="MNL37" s="299"/>
      <c r="MNM37" s="299"/>
      <c r="MNN37" s="299"/>
      <c r="MNO37" s="299"/>
      <c r="MNP37" s="299"/>
      <c r="MNQ37" s="299"/>
      <c r="MNR37" s="299"/>
      <c r="MNS37" s="299"/>
      <c r="MNT37" s="299"/>
      <c r="MNU37" s="299"/>
      <c r="MNV37" s="299"/>
      <c r="MNW37" s="299"/>
      <c r="MNX37" s="299"/>
      <c r="MNY37" s="299"/>
      <c r="MNZ37" s="299"/>
      <c r="MOA37" s="299"/>
      <c r="MOB37" s="299"/>
      <c r="MOC37" s="299"/>
      <c r="MOD37" s="299"/>
      <c r="MOE37" s="299"/>
      <c r="MOF37" s="299"/>
      <c r="MOG37" s="299"/>
      <c r="MOH37" s="299"/>
      <c r="MOI37" s="299"/>
      <c r="MOJ37" s="299"/>
      <c r="MOK37" s="299"/>
      <c r="MOL37" s="299"/>
      <c r="MOM37" s="299"/>
      <c r="MON37" s="299"/>
      <c r="MOO37" s="299"/>
      <c r="MOP37" s="299"/>
      <c r="MOQ37" s="299"/>
      <c r="MOR37" s="299"/>
      <c r="MOS37" s="299"/>
      <c r="MOT37" s="299"/>
      <c r="MOU37" s="299"/>
      <c r="MOV37" s="299"/>
      <c r="MOW37" s="299"/>
      <c r="MOX37" s="299"/>
      <c r="MOY37" s="299"/>
      <c r="MOZ37" s="299"/>
      <c r="MPA37" s="299"/>
      <c r="MPB37" s="299"/>
      <c r="MPC37" s="299"/>
      <c r="MPD37" s="299"/>
      <c r="MPE37" s="299"/>
      <c r="MPF37" s="299"/>
      <c r="MPG37" s="299"/>
      <c r="MPH37" s="299"/>
      <c r="MPI37" s="299"/>
      <c r="MPJ37" s="299"/>
      <c r="MPK37" s="299"/>
      <c r="MPL37" s="299"/>
      <c r="MPM37" s="299"/>
      <c r="MPN37" s="299"/>
      <c r="MPO37" s="299"/>
      <c r="MPP37" s="299"/>
      <c r="MPQ37" s="299"/>
      <c r="MPR37" s="299"/>
      <c r="MPS37" s="299"/>
      <c r="MPT37" s="299"/>
      <c r="MPU37" s="299"/>
      <c r="MPV37" s="299"/>
      <c r="MPW37" s="299"/>
      <c r="MPX37" s="299"/>
      <c r="MPY37" s="299"/>
      <c r="MPZ37" s="299"/>
      <c r="MQA37" s="299"/>
      <c r="MQB37" s="299"/>
      <c r="MQC37" s="299"/>
      <c r="MQD37" s="299"/>
      <c r="MQE37" s="299"/>
      <c r="MQF37" s="299"/>
      <c r="MQG37" s="299"/>
      <c r="MQH37" s="299"/>
      <c r="MQI37" s="299"/>
      <c r="MQJ37" s="299"/>
      <c r="MQK37" s="299"/>
      <c r="MQL37" s="299"/>
      <c r="MQM37" s="299"/>
      <c r="MQN37" s="299"/>
      <c r="MQO37" s="299"/>
      <c r="MQP37" s="299"/>
      <c r="MQQ37" s="299"/>
      <c r="MQR37" s="299"/>
      <c r="MQS37" s="299"/>
      <c r="MQT37" s="299"/>
      <c r="MQU37" s="299"/>
      <c r="MQV37" s="299"/>
      <c r="MQW37" s="299"/>
      <c r="MQX37" s="299"/>
      <c r="MQY37" s="299"/>
      <c r="MQZ37" s="299"/>
      <c r="MRA37" s="299"/>
      <c r="MRB37" s="299"/>
      <c r="MRC37" s="299"/>
      <c r="MRD37" s="299"/>
      <c r="MRE37" s="299"/>
      <c r="MRF37" s="299"/>
      <c r="MRG37" s="299"/>
      <c r="MRH37" s="299"/>
      <c r="MRI37" s="299"/>
      <c r="MRJ37" s="299"/>
      <c r="MRK37" s="299"/>
      <c r="MRL37" s="299"/>
      <c r="MRM37" s="299"/>
      <c r="MRN37" s="299"/>
      <c r="MRO37" s="299"/>
      <c r="MRP37" s="299"/>
      <c r="MRQ37" s="299"/>
      <c r="MRR37" s="299"/>
      <c r="MRS37" s="299"/>
      <c r="MRT37" s="299"/>
      <c r="MRU37" s="299"/>
      <c r="MRV37" s="299"/>
      <c r="MRW37" s="299"/>
      <c r="MRX37" s="299"/>
      <c r="MRY37" s="299"/>
      <c r="MRZ37" s="299"/>
      <c r="MSA37" s="299"/>
      <c r="MSB37" s="299"/>
      <c r="MSC37" s="299"/>
      <c r="MSD37" s="299"/>
      <c r="MSE37" s="299"/>
      <c r="MSF37" s="299"/>
      <c r="MSG37" s="299"/>
      <c r="MSH37" s="299"/>
      <c r="MSI37" s="299"/>
      <c r="MSJ37" s="299"/>
      <c r="MSK37" s="299"/>
      <c r="MSL37" s="299"/>
      <c r="MSM37" s="299"/>
      <c r="MSN37" s="299"/>
      <c r="MSO37" s="299"/>
      <c r="MSP37" s="299"/>
      <c r="MSQ37" s="299"/>
      <c r="MSR37" s="299"/>
      <c r="MSS37" s="299"/>
      <c r="MST37" s="299"/>
      <c r="MSU37" s="299"/>
      <c r="MSV37" s="299"/>
      <c r="MSW37" s="299"/>
      <c r="MSX37" s="299"/>
      <c r="MSY37" s="299"/>
      <c r="MSZ37" s="299"/>
      <c r="MTA37" s="299"/>
      <c r="MTB37" s="299"/>
      <c r="MTC37" s="299"/>
      <c r="MTD37" s="299"/>
      <c r="MTE37" s="299"/>
      <c r="MTF37" s="299"/>
      <c r="MTG37" s="299"/>
      <c r="MTH37" s="299"/>
      <c r="MTI37" s="299"/>
      <c r="MTJ37" s="299"/>
      <c r="MTK37" s="299"/>
      <c r="MTL37" s="299"/>
      <c r="MTM37" s="299"/>
      <c r="MTN37" s="299"/>
      <c r="MTO37" s="299"/>
      <c r="MTP37" s="299"/>
      <c r="MTQ37" s="299"/>
      <c r="MTR37" s="299"/>
      <c r="MTS37" s="299"/>
      <c r="MTT37" s="299"/>
      <c r="MTU37" s="299"/>
      <c r="MTV37" s="299"/>
      <c r="MTW37" s="299"/>
      <c r="MTX37" s="299"/>
      <c r="MTY37" s="299"/>
      <c r="MTZ37" s="299"/>
      <c r="MUA37" s="299"/>
      <c r="MUB37" s="299"/>
      <c r="MUC37" s="299"/>
      <c r="MUD37" s="299"/>
      <c r="MUE37" s="299"/>
      <c r="MUF37" s="299"/>
      <c r="MUG37" s="299"/>
      <c r="MUH37" s="299"/>
      <c r="MUI37" s="299"/>
      <c r="MUJ37" s="299"/>
      <c r="MUK37" s="299"/>
      <c r="MUL37" s="299"/>
      <c r="MUM37" s="299"/>
      <c r="MUN37" s="299"/>
      <c r="MUO37" s="299"/>
      <c r="MUP37" s="299"/>
      <c r="MUQ37" s="299"/>
      <c r="MUR37" s="299"/>
      <c r="MUS37" s="299"/>
      <c r="MUT37" s="299"/>
      <c r="MUU37" s="299"/>
      <c r="MUV37" s="299"/>
      <c r="MUW37" s="299"/>
      <c r="MUX37" s="299"/>
      <c r="MUY37" s="299"/>
      <c r="MUZ37" s="299"/>
      <c r="MVA37" s="299"/>
      <c r="MVB37" s="299"/>
      <c r="MVC37" s="299"/>
      <c r="MVD37" s="299"/>
      <c r="MVE37" s="299"/>
      <c r="MVF37" s="299"/>
      <c r="MVG37" s="299"/>
      <c r="MVH37" s="299"/>
      <c r="MVI37" s="299"/>
      <c r="MVJ37" s="299"/>
      <c r="MVK37" s="299"/>
      <c r="MVL37" s="299"/>
      <c r="MVM37" s="299"/>
      <c r="MVN37" s="299"/>
      <c r="MVO37" s="299"/>
      <c r="MVP37" s="299"/>
      <c r="MVQ37" s="299"/>
      <c r="MVR37" s="299"/>
      <c r="MVS37" s="299"/>
      <c r="MVT37" s="299"/>
      <c r="MVU37" s="299"/>
      <c r="MVV37" s="299"/>
      <c r="MVW37" s="299"/>
      <c r="MVX37" s="299"/>
      <c r="MVY37" s="299"/>
      <c r="MVZ37" s="299"/>
      <c r="MWA37" s="299"/>
      <c r="MWB37" s="299"/>
      <c r="MWC37" s="299"/>
      <c r="MWD37" s="299"/>
      <c r="MWE37" s="299"/>
      <c r="MWF37" s="299"/>
      <c r="MWG37" s="299"/>
      <c r="MWH37" s="299"/>
      <c r="MWI37" s="299"/>
      <c r="MWJ37" s="299"/>
      <c r="MWK37" s="299"/>
      <c r="MWL37" s="299"/>
      <c r="MWM37" s="299"/>
      <c r="MWN37" s="299"/>
      <c r="MWO37" s="299"/>
      <c r="MWP37" s="299"/>
      <c r="MWQ37" s="299"/>
      <c r="MWR37" s="299"/>
      <c r="MWS37" s="299"/>
      <c r="MWT37" s="299"/>
      <c r="MWU37" s="299"/>
      <c r="MWV37" s="299"/>
      <c r="MWW37" s="299"/>
      <c r="MWX37" s="299"/>
      <c r="MWY37" s="299"/>
      <c r="MWZ37" s="299"/>
      <c r="MXA37" s="299"/>
      <c r="MXB37" s="299"/>
      <c r="MXC37" s="299"/>
      <c r="MXD37" s="299"/>
      <c r="MXE37" s="299"/>
      <c r="MXF37" s="299"/>
      <c r="MXG37" s="299"/>
      <c r="MXH37" s="299"/>
      <c r="MXI37" s="299"/>
      <c r="MXJ37" s="299"/>
      <c r="MXK37" s="299"/>
      <c r="MXL37" s="299"/>
      <c r="MXM37" s="299"/>
      <c r="MXN37" s="299"/>
      <c r="MXO37" s="299"/>
      <c r="MXP37" s="299"/>
      <c r="MXQ37" s="299"/>
      <c r="MXR37" s="299"/>
      <c r="MXS37" s="299"/>
      <c r="MXT37" s="299"/>
      <c r="MXU37" s="299"/>
      <c r="MXV37" s="299"/>
      <c r="MXW37" s="299"/>
      <c r="MXX37" s="299"/>
      <c r="MXY37" s="299"/>
      <c r="MXZ37" s="299"/>
      <c r="MYA37" s="299"/>
      <c r="MYB37" s="299"/>
      <c r="MYC37" s="299"/>
      <c r="MYD37" s="299"/>
      <c r="MYE37" s="299"/>
      <c r="MYF37" s="299"/>
      <c r="MYG37" s="299"/>
      <c r="MYH37" s="299"/>
      <c r="MYI37" s="299"/>
      <c r="MYJ37" s="299"/>
      <c r="MYK37" s="299"/>
      <c r="MYL37" s="299"/>
      <c r="MYM37" s="299"/>
      <c r="MYN37" s="299"/>
      <c r="MYO37" s="299"/>
      <c r="MYP37" s="299"/>
      <c r="MYQ37" s="299"/>
      <c r="MYR37" s="299"/>
      <c r="MYS37" s="299"/>
      <c r="MYT37" s="299"/>
      <c r="MYU37" s="299"/>
      <c r="MYV37" s="299"/>
      <c r="MYW37" s="299"/>
      <c r="MYX37" s="299"/>
      <c r="MYY37" s="299"/>
      <c r="MYZ37" s="299"/>
      <c r="MZA37" s="299"/>
      <c r="MZB37" s="299"/>
      <c r="MZC37" s="299"/>
      <c r="MZD37" s="299"/>
      <c r="MZE37" s="299"/>
      <c r="MZF37" s="299"/>
      <c r="MZG37" s="299"/>
      <c r="MZH37" s="299"/>
      <c r="MZI37" s="299"/>
      <c r="MZJ37" s="299"/>
      <c r="MZK37" s="299"/>
      <c r="MZL37" s="299"/>
      <c r="MZM37" s="299"/>
      <c r="MZN37" s="299"/>
      <c r="MZO37" s="299"/>
      <c r="MZP37" s="299"/>
      <c r="MZQ37" s="299"/>
      <c r="MZR37" s="299"/>
      <c r="MZS37" s="299"/>
      <c r="MZT37" s="299"/>
      <c r="MZU37" s="299"/>
      <c r="MZV37" s="299"/>
      <c r="MZW37" s="299"/>
      <c r="MZX37" s="299"/>
      <c r="MZY37" s="299"/>
      <c r="MZZ37" s="299"/>
      <c r="NAA37" s="299"/>
      <c r="NAB37" s="299"/>
      <c r="NAC37" s="299"/>
      <c r="NAD37" s="299"/>
      <c r="NAE37" s="299"/>
      <c r="NAF37" s="299"/>
      <c r="NAG37" s="299"/>
      <c r="NAH37" s="299"/>
      <c r="NAI37" s="299"/>
      <c r="NAJ37" s="299"/>
      <c r="NAK37" s="299"/>
      <c r="NAL37" s="299"/>
      <c r="NAM37" s="299"/>
      <c r="NAN37" s="299"/>
      <c r="NAO37" s="299"/>
      <c r="NAP37" s="299"/>
      <c r="NAQ37" s="299"/>
      <c r="NAR37" s="299"/>
      <c r="NAS37" s="299"/>
      <c r="NAT37" s="299"/>
      <c r="NAU37" s="299"/>
      <c r="NAV37" s="299"/>
      <c r="NAW37" s="299"/>
      <c r="NAX37" s="299"/>
      <c r="NAY37" s="299"/>
      <c r="NAZ37" s="299"/>
      <c r="NBA37" s="299"/>
      <c r="NBB37" s="299"/>
      <c r="NBC37" s="299"/>
      <c r="NBD37" s="299"/>
      <c r="NBE37" s="299"/>
      <c r="NBF37" s="299"/>
      <c r="NBG37" s="299"/>
      <c r="NBH37" s="299"/>
      <c r="NBI37" s="299"/>
      <c r="NBJ37" s="299"/>
      <c r="NBK37" s="299"/>
      <c r="NBL37" s="299"/>
      <c r="NBM37" s="299"/>
      <c r="NBN37" s="299"/>
      <c r="NBO37" s="299"/>
      <c r="NBP37" s="299"/>
      <c r="NBQ37" s="299"/>
      <c r="NBR37" s="299"/>
      <c r="NBS37" s="299"/>
      <c r="NBT37" s="299"/>
      <c r="NBU37" s="299"/>
      <c r="NBV37" s="299"/>
      <c r="NBW37" s="299"/>
      <c r="NBX37" s="299"/>
      <c r="NBY37" s="299"/>
      <c r="NBZ37" s="299"/>
      <c r="NCA37" s="299"/>
      <c r="NCB37" s="299"/>
      <c r="NCC37" s="299"/>
      <c r="NCD37" s="299"/>
      <c r="NCE37" s="299"/>
      <c r="NCF37" s="299"/>
      <c r="NCG37" s="299"/>
      <c r="NCH37" s="299"/>
      <c r="NCI37" s="299"/>
      <c r="NCJ37" s="299"/>
      <c r="NCK37" s="299"/>
      <c r="NCL37" s="299"/>
      <c r="NCM37" s="299"/>
      <c r="NCN37" s="299"/>
      <c r="NCO37" s="299"/>
      <c r="NCP37" s="299"/>
      <c r="NCQ37" s="299"/>
      <c r="NCR37" s="299"/>
      <c r="NCS37" s="299"/>
      <c r="NCT37" s="299"/>
      <c r="NCU37" s="299"/>
      <c r="NCV37" s="299"/>
      <c r="NCW37" s="299"/>
      <c r="NCX37" s="299"/>
      <c r="NCY37" s="299"/>
      <c r="NCZ37" s="299"/>
      <c r="NDA37" s="299"/>
      <c r="NDB37" s="299"/>
      <c r="NDC37" s="299"/>
      <c r="NDD37" s="299"/>
      <c r="NDE37" s="299"/>
      <c r="NDF37" s="299"/>
      <c r="NDG37" s="299"/>
      <c r="NDH37" s="299"/>
      <c r="NDI37" s="299"/>
      <c r="NDJ37" s="299"/>
      <c r="NDK37" s="299"/>
      <c r="NDL37" s="299"/>
      <c r="NDM37" s="299"/>
      <c r="NDN37" s="299"/>
      <c r="NDO37" s="299"/>
      <c r="NDP37" s="299"/>
      <c r="NDQ37" s="299"/>
      <c r="NDR37" s="299"/>
      <c r="NDS37" s="299"/>
      <c r="NDT37" s="299"/>
      <c r="NDU37" s="299"/>
      <c r="NDV37" s="299"/>
      <c r="NDW37" s="299"/>
      <c r="NDX37" s="299"/>
      <c r="NDY37" s="299"/>
      <c r="NDZ37" s="299"/>
      <c r="NEA37" s="299"/>
      <c r="NEB37" s="299"/>
      <c r="NEC37" s="299"/>
      <c r="NED37" s="299"/>
      <c r="NEE37" s="299"/>
      <c r="NEF37" s="299"/>
      <c r="NEG37" s="299"/>
      <c r="NEH37" s="299"/>
      <c r="NEI37" s="299"/>
      <c r="NEJ37" s="299"/>
      <c r="NEK37" s="299"/>
      <c r="NEL37" s="299"/>
      <c r="NEM37" s="299"/>
      <c r="NEN37" s="299"/>
      <c r="NEO37" s="299"/>
      <c r="NEP37" s="299"/>
      <c r="NEQ37" s="299"/>
      <c r="NER37" s="299"/>
      <c r="NES37" s="299"/>
      <c r="NET37" s="299"/>
      <c r="NEU37" s="299"/>
      <c r="NEV37" s="299"/>
      <c r="NEW37" s="299"/>
      <c r="NEX37" s="299"/>
      <c r="NEY37" s="299"/>
      <c r="NEZ37" s="299"/>
      <c r="NFA37" s="299"/>
      <c r="NFB37" s="299"/>
      <c r="NFC37" s="299"/>
      <c r="NFD37" s="299"/>
      <c r="NFE37" s="299"/>
      <c r="NFF37" s="299"/>
      <c r="NFG37" s="299"/>
      <c r="NFH37" s="299"/>
      <c r="NFI37" s="299"/>
      <c r="NFJ37" s="299"/>
      <c r="NFK37" s="299"/>
      <c r="NFL37" s="299"/>
      <c r="NFM37" s="299"/>
      <c r="NFN37" s="299"/>
      <c r="NFO37" s="299"/>
      <c r="NFP37" s="299"/>
      <c r="NFQ37" s="299"/>
      <c r="NFR37" s="299"/>
      <c r="NFS37" s="299"/>
      <c r="NFT37" s="299"/>
      <c r="NFU37" s="299"/>
      <c r="NFV37" s="299"/>
      <c r="NFW37" s="299"/>
      <c r="NFX37" s="299"/>
      <c r="NFY37" s="299"/>
      <c r="NFZ37" s="299"/>
      <c r="NGA37" s="299"/>
      <c r="NGB37" s="299"/>
      <c r="NGC37" s="299"/>
      <c r="NGD37" s="299"/>
      <c r="NGE37" s="299"/>
      <c r="NGF37" s="299"/>
      <c r="NGG37" s="299"/>
      <c r="NGH37" s="299"/>
      <c r="NGI37" s="299"/>
      <c r="NGJ37" s="299"/>
      <c r="NGK37" s="299"/>
      <c r="NGL37" s="299"/>
      <c r="NGM37" s="299"/>
      <c r="NGN37" s="299"/>
      <c r="NGO37" s="299"/>
      <c r="NGP37" s="299"/>
      <c r="NGQ37" s="299"/>
      <c r="NGR37" s="299"/>
      <c r="NGS37" s="299"/>
      <c r="NGT37" s="299"/>
      <c r="NGU37" s="299"/>
      <c r="NGV37" s="299"/>
      <c r="NGW37" s="299"/>
      <c r="NGX37" s="299"/>
      <c r="NGY37" s="299"/>
      <c r="NGZ37" s="299"/>
      <c r="NHA37" s="299"/>
      <c r="NHB37" s="299"/>
      <c r="NHC37" s="299"/>
      <c r="NHD37" s="299"/>
      <c r="NHE37" s="299"/>
      <c r="NHF37" s="299"/>
      <c r="NHG37" s="299"/>
      <c r="NHH37" s="299"/>
      <c r="NHI37" s="299"/>
      <c r="NHJ37" s="299"/>
      <c r="NHK37" s="299"/>
      <c r="NHL37" s="299"/>
      <c r="NHM37" s="299"/>
      <c r="NHN37" s="299"/>
      <c r="NHO37" s="299"/>
      <c r="NHP37" s="299"/>
      <c r="NHQ37" s="299"/>
      <c r="NHR37" s="299"/>
      <c r="NHS37" s="299"/>
      <c r="NHT37" s="299"/>
      <c r="NHU37" s="299"/>
      <c r="NHV37" s="299"/>
      <c r="NHW37" s="299"/>
      <c r="NHX37" s="299"/>
      <c r="NHY37" s="299"/>
      <c r="NHZ37" s="299"/>
      <c r="NIA37" s="299"/>
      <c r="NIB37" s="299"/>
      <c r="NIC37" s="299"/>
      <c r="NID37" s="299"/>
      <c r="NIE37" s="299"/>
      <c r="NIF37" s="299"/>
      <c r="NIG37" s="299"/>
      <c r="NIH37" s="299"/>
      <c r="NII37" s="299"/>
      <c r="NIJ37" s="299"/>
      <c r="NIK37" s="299"/>
      <c r="NIL37" s="299"/>
      <c r="NIM37" s="299"/>
      <c r="NIN37" s="299"/>
      <c r="NIO37" s="299"/>
      <c r="NIP37" s="299"/>
      <c r="NIQ37" s="299"/>
      <c r="NIR37" s="299"/>
      <c r="NIS37" s="299"/>
      <c r="NIT37" s="299"/>
      <c r="NIU37" s="299"/>
      <c r="NIV37" s="299"/>
      <c r="NIW37" s="299"/>
      <c r="NIX37" s="299"/>
      <c r="NIY37" s="299"/>
      <c r="NIZ37" s="299"/>
      <c r="NJA37" s="299"/>
      <c r="NJB37" s="299"/>
      <c r="NJC37" s="299"/>
      <c r="NJD37" s="299"/>
      <c r="NJE37" s="299"/>
      <c r="NJF37" s="299"/>
      <c r="NJG37" s="299"/>
      <c r="NJH37" s="299"/>
      <c r="NJI37" s="299"/>
      <c r="NJJ37" s="299"/>
      <c r="NJK37" s="299"/>
      <c r="NJL37" s="299"/>
      <c r="NJM37" s="299"/>
      <c r="NJN37" s="299"/>
      <c r="NJO37" s="299"/>
      <c r="NJP37" s="299"/>
      <c r="NJQ37" s="299"/>
      <c r="NJR37" s="299"/>
      <c r="NJS37" s="299"/>
      <c r="NJT37" s="299"/>
      <c r="NJU37" s="299"/>
      <c r="NJV37" s="299"/>
      <c r="NJW37" s="299"/>
      <c r="NJX37" s="299"/>
      <c r="NJY37" s="299"/>
      <c r="NJZ37" s="299"/>
      <c r="NKA37" s="299"/>
      <c r="NKB37" s="299"/>
      <c r="NKC37" s="299"/>
      <c r="NKD37" s="299"/>
      <c r="NKE37" s="299"/>
      <c r="NKF37" s="299"/>
      <c r="NKG37" s="299"/>
      <c r="NKH37" s="299"/>
      <c r="NKI37" s="299"/>
      <c r="NKJ37" s="299"/>
      <c r="NKK37" s="299"/>
      <c r="NKL37" s="299"/>
      <c r="NKM37" s="299"/>
      <c r="NKN37" s="299"/>
      <c r="NKO37" s="299"/>
      <c r="NKP37" s="299"/>
      <c r="NKQ37" s="299"/>
      <c r="NKR37" s="299"/>
      <c r="NKS37" s="299"/>
      <c r="NKT37" s="299"/>
      <c r="NKU37" s="299"/>
      <c r="NKV37" s="299"/>
      <c r="NKW37" s="299"/>
      <c r="NKX37" s="299"/>
      <c r="NKY37" s="299"/>
      <c r="NKZ37" s="299"/>
      <c r="NLA37" s="299"/>
      <c r="NLB37" s="299"/>
      <c r="NLC37" s="299"/>
      <c r="NLD37" s="299"/>
      <c r="NLE37" s="299"/>
      <c r="NLF37" s="299"/>
      <c r="NLG37" s="299"/>
      <c r="NLH37" s="299"/>
      <c r="NLI37" s="299"/>
      <c r="NLJ37" s="299"/>
      <c r="NLK37" s="299"/>
      <c r="NLL37" s="299"/>
      <c r="NLM37" s="299"/>
      <c r="NLN37" s="299"/>
      <c r="NLO37" s="299"/>
      <c r="NLP37" s="299"/>
      <c r="NLQ37" s="299"/>
      <c r="NLR37" s="299"/>
      <c r="NLS37" s="299"/>
      <c r="NLT37" s="299"/>
      <c r="NLU37" s="299"/>
      <c r="NLV37" s="299"/>
      <c r="NLW37" s="299"/>
      <c r="NLX37" s="299"/>
      <c r="NLY37" s="299"/>
      <c r="NLZ37" s="299"/>
      <c r="NMA37" s="299"/>
      <c r="NMB37" s="299"/>
      <c r="NMC37" s="299"/>
      <c r="NMD37" s="299"/>
      <c r="NME37" s="299"/>
      <c r="NMF37" s="299"/>
      <c r="NMG37" s="299"/>
      <c r="NMH37" s="299"/>
      <c r="NMI37" s="299"/>
      <c r="NMJ37" s="299"/>
      <c r="NMK37" s="299"/>
      <c r="NML37" s="299"/>
      <c r="NMM37" s="299"/>
      <c r="NMN37" s="299"/>
      <c r="NMO37" s="299"/>
      <c r="NMP37" s="299"/>
      <c r="NMQ37" s="299"/>
      <c r="NMR37" s="299"/>
      <c r="NMS37" s="299"/>
      <c r="NMT37" s="299"/>
      <c r="NMU37" s="299"/>
      <c r="NMV37" s="299"/>
      <c r="NMW37" s="299"/>
      <c r="NMX37" s="299"/>
      <c r="NMY37" s="299"/>
      <c r="NMZ37" s="299"/>
      <c r="NNA37" s="299"/>
      <c r="NNB37" s="299"/>
      <c r="NNC37" s="299"/>
      <c r="NND37" s="299"/>
      <c r="NNE37" s="299"/>
      <c r="NNF37" s="299"/>
      <c r="NNG37" s="299"/>
      <c r="NNH37" s="299"/>
      <c r="NNI37" s="299"/>
      <c r="NNJ37" s="299"/>
      <c r="NNK37" s="299"/>
      <c r="NNL37" s="299"/>
      <c r="NNM37" s="299"/>
      <c r="NNN37" s="299"/>
      <c r="NNO37" s="299"/>
      <c r="NNP37" s="299"/>
      <c r="NNQ37" s="299"/>
      <c r="NNR37" s="299"/>
      <c r="NNS37" s="299"/>
      <c r="NNT37" s="299"/>
      <c r="NNU37" s="299"/>
      <c r="NNV37" s="299"/>
      <c r="NNW37" s="299"/>
      <c r="NNX37" s="299"/>
      <c r="NNY37" s="299"/>
      <c r="NNZ37" s="299"/>
      <c r="NOA37" s="299"/>
      <c r="NOB37" s="299"/>
      <c r="NOC37" s="299"/>
      <c r="NOD37" s="299"/>
      <c r="NOE37" s="299"/>
      <c r="NOF37" s="299"/>
      <c r="NOG37" s="299"/>
      <c r="NOH37" s="299"/>
      <c r="NOI37" s="299"/>
      <c r="NOJ37" s="299"/>
      <c r="NOK37" s="299"/>
      <c r="NOL37" s="299"/>
      <c r="NOM37" s="299"/>
      <c r="NON37" s="299"/>
      <c r="NOO37" s="299"/>
      <c r="NOP37" s="299"/>
      <c r="NOQ37" s="299"/>
      <c r="NOR37" s="299"/>
      <c r="NOS37" s="299"/>
      <c r="NOT37" s="299"/>
      <c r="NOU37" s="299"/>
      <c r="NOV37" s="299"/>
      <c r="NOW37" s="299"/>
      <c r="NOX37" s="299"/>
      <c r="NOY37" s="299"/>
      <c r="NOZ37" s="299"/>
      <c r="NPA37" s="299"/>
      <c r="NPB37" s="299"/>
      <c r="NPC37" s="299"/>
      <c r="NPD37" s="299"/>
      <c r="NPE37" s="299"/>
      <c r="NPF37" s="299"/>
      <c r="NPG37" s="299"/>
      <c r="NPH37" s="299"/>
      <c r="NPI37" s="299"/>
      <c r="NPJ37" s="299"/>
      <c r="NPK37" s="299"/>
      <c r="NPL37" s="299"/>
      <c r="NPM37" s="299"/>
      <c r="NPN37" s="299"/>
      <c r="NPO37" s="299"/>
      <c r="NPP37" s="299"/>
      <c r="NPQ37" s="299"/>
      <c r="NPR37" s="299"/>
      <c r="NPS37" s="299"/>
      <c r="NPT37" s="299"/>
      <c r="NPU37" s="299"/>
      <c r="NPV37" s="299"/>
      <c r="NPW37" s="299"/>
      <c r="NPX37" s="299"/>
      <c r="NPY37" s="299"/>
      <c r="NPZ37" s="299"/>
      <c r="NQA37" s="299"/>
      <c r="NQB37" s="299"/>
      <c r="NQC37" s="299"/>
      <c r="NQD37" s="299"/>
      <c r="NQE37" s="299"/>
      <c r="NQF37" s="299"/>
      <c r="NQG37" s="299"/>
      <c r="NQH37" s="299"/>
      <c r="NQI37" s="299"/>
      <c r="NQJ37" s="299"/>
      <c r="NQK37" s="299"/>
      <c r="NQL37" s="299"/>
      <c r="NQM37" s="299"/>
      <c r="NQN37" s="299"/>
      <c r="NQO37" s="299"/>
      <c r="NQP37" s="299"/>
      <c r="NQQ37" s="299"/>
      <c r="NQR37" s="299"/>
      <c r="NQS37" s="299"/>
      <c r="NQT37" s="299"/>
      <c r="NQU37" s="299"/>
      <c r="NQV37" s="299"/>
      <c r="NQW37" s="299"/>
      <c r="NQX37" s="299"/>
      <c r="NQY37" s="299"/>
      <c r="NQZ37" s="299"/>
      <c r="NRA37" s="299"/>
      <c r="NRB37" s="299"/>
      <c r="NRC37" s="299"/>
      <c r="NRD37" s="299"/>
      <c r="NRE37" s="299"/>
      <c r="NRF37" s="299"/>
      <c r="NRG37" s="299"/>
      <c r="NRH37" s="299"/>
      <c r="NRI37" s="299"/>
      <c r="NRJ37" s="299"/>
      <c r="NRK37" s="299"/>
      <c r="NRL37" s="299"/>
      <c r="NRM37" s="299"/>
      <c r="NRN37" s="299"/>
      <c r="NRO37" s="299"/>
      <c r="NRP37" s="299"/>
      <c r="NRQ37" s="299"/>
      <c r="NRR37" s="299"/>
      <c r="NRS37" s="299"/>
      <c r="NRT37" s="299"/>
      <c r="NRU37" s="299"/>
      <c r="NRV37" s="299"/>
      <c r="NRW37" s="299"/>
      <c r="NRX37" s="299"/>
      <c r="NRY37" s="299"/>
      <c r="NRZ37" s="299"/>
      <c r="NSA37" s="299"/>
      <c r="NSB37" s="299"/>
      <c r="NSC37" s="299"/>
      <c r="NSD37" s="299"/>
      <c r="NSE37" s="299"/>
      <c r="NSF37" s="299"/>
      <c r="NSG37" s="299"/>
      <c r="NSH37" s="299"/>
      <c r="NSI37" s="299"/>
      <c r="NSJ37" s="299"/>
      <c r="NSK37" s="299"/>
      <c r="NSL37" s="299"/>
      <c r="NSM37" s="299"/>
      <c r="NSN37" s="299"/>
      <c r="NSO37" s="299"/>
      <c r="NSP37" s="299"/>
      <c r="NSQ37" s="299"/>
      <c r="NSR37" s="299"/>
      <c r="NSS37" s="299"/>
      <c r="NST37" s="299"/>
      <c r="NSU37" s="299"/>
      <c r="NSV37" s="299"/>
      <c r="NSW37" s="299"/>
      <c r="NSX37" s="299"/>
      <c r="NSY37" s="299"/>
      <c r="NSZ37" s="299"/>
      <c r="NTA37" s="299"/>
      <c r="NTB37" s="299"/>
      <c r="NTC37" s="299"/>
      <c r="NTD37" s="299"/>
      <c r="NTE37" s="299"/>
      <c r="NTF37" s="299"/>
      <c r="NTG37" s="299"/>
      <c r="NTH37" s="299"/>
      <c r="NTI37" s="299"/>
      <c r="NTJ37" s="299"/>
      <c r="NTK37" s="299"/>
      <c r="NTL37" s="299"/>
      <c r="NTM37" s="299"/>
      <c r="NTN37" s="299"/>
      <c r="NTO37" s="299"/>
      <c r="NTP37" s="299"/>
      <c r="NTQ37" s="299"/>
      <c r="NTR37" s="299"/>
      <c r="NTS37" s="299"/>
      <c r="NTT37" s="299"/>
      <c r="NTU37" s="299"/>
      <c r="NTV37" s="299"/>
      <c r="NTW37" s="299"/>
      <c r="NTX37" s="299"/>
      <c r="NTY37" s="299"/>
      <c r="NTZ37" s="299"/>
      <c r="NUA37" s="299"/>
      <c r="NUB37" s="299"/>
      <c r="NUC37" s="299"/>
      <c r="NUD37" s="299"/>
      <c r="NUE37" s="299"/>
      <c r="NUF37" s="299"/>
      <c r="NUG37" s="299"/>
      <c r="NUH37" s="299"/>
      <c r="NUI37" s="299"/>
      <c r="NUJ37" s="299"/>
      <c r="NUK37" s="299"/>
      <c r="NUL37" s="299"/>
      <c r="NUM37" s="299"/>
      <c r="NUN37" s="299"/>
      <c r="NUO37" s="299"/>
      <c r="NUP37" s="299"/>
      <c r="NUQ37" s="299"/>
      <c r="NUR37" s="299"/>
      <c r="NUS37" s="299"/>
      <c r="NUT37" s="299"/>
      <c r="NUU37" s="299"/>
      <c r="NUV37" s="299"/>
      <c r="NUW37" s="299"/>
      <c r="NUX37" s="299"/>
      <c r="NUY37" s="299"/>
      <c r="NUZ37" s="299"/>
      <c r="NVA37" s="299"/>
      <c r="NVB37" s="299"/>
      <c r="NVC37" s="299"/>
      <c r="NVD37" s="299"/>
      <c r="NVE37" s="299"/>
      <c r="NVF37" s="299"/>
      <c r="NVG37" s="299"/>
      <c r="NVH37" s="299"/>
      <c r="NVI37" s="299"/>
      <c r="NVJ37" s="299"/>
      <c r="NVK37" s="299"/>
      <c r="NVL37" s="299"/>
      <c r="NVM37" s="299"/>
      <c r="NVN37" s="299"/>
      <c r="NVO37" s="299"/>
      <c r="NVP37" s="299"/>
      <c r="NVQ37" s="299"/>
      <c r="NVR37" s="299"/>
      <c r="NVS37" s="299"/>
      <c r="NVT37" s="299"/>
      <c r="NVU37" s="299"/>
      <c r="NVV37" s="299"/>
      <c r="NVW37" s="299"/>
      <c r="NVX37" s="299"/>
      <c r="NVY37" s="299"/>
      <c r="NVZ37" s="299"/>
      <c r="NWA37" s="299"/>
      <c r="NWB37" s="299"/>
      <c r="NWC37" s="299"/>
      <c r="NWD37" s="299"/>
      <c r="NWE37" s="299"/>
      <c r="NWF37" s="299"/>
      <c r="NWG37" s="299"/>
      <c r="NWH37" s="299"/>
      <c r="NWI37" s="299"/>
      <c r="NWJ37" s="299"/>
      <c r="NWK37" s="299"/>
      <c r="NWL37" s="299"/>
      <c r="NWM37" s="299"/>
      <c r="NWN37" s="299"/>
      <c r="NWO37" s="299"/>
      <c r="NWP37" s="299"/>
      <c r="NWQ37" s="299"/>
      <c r="NWR37" s="299"/>
      <c r="NWS37" s="299"/>
      <c r="NWT37" s="299"/>
      <c r="NWU37" s="299"/>
      <c r="NWV37" s="299"/>
      <c r="NWW37" s="299"/>
      <c r="NWX37" s="299"/>
      <c r="NWY37" s="299"/>
      <c r="NWZ37" s="299"/>
      <c r="NXA37" s="299"/>
      <c r="NXB37" s="299"/>
      <c r="NXC37" s="299"/>
      <c r="NXD37" s="299"/>
      <c r="NXE37" s="299"/>
      <c r="NXF37" s="299"/>
      <c r="NXG37" s="299"/>
      <c r="NXH37" s="299"/>
      <c r="NXI37" s="299"/>
      <c r="NXJ37" s="299"/>
      <c r="NXK37" s="299"/>
      <c r="NXL37" s="299"/>
      <c r="NXM37" s="299"/>
      <c r="NXN37" s="299"/>
      <c r="NXO37" s="299"/>
      <c r="NXP37" s="299"/>
      <c r="NXQ37" s="299"/>
      <c r="NXR37" s="299"/>
      <c r="NXS37" s="299"/>
      <c r="NXT37" s="299"/>
      <c r="NXU37" s="299"/>
      <c r="NXV37" s="299"/>
      <c r="NXW37" s="299"/>
      <c r="NXX37" s="299"/>
      <c r="NXY37" s="299"/>
      <c r="NXZ37" s="299"/>
      <c r="NYA37" s="299"/>
      <c r="NYB37" s="299"/>
      <c r="NYC37" s="299"/>
      <c r="NYD37" s="299"/>
      <c r="NYE37" s="299"/>
      <c r="NYF37" s="299"/>
      <c r="NYG37" s="299"/>
      <c r="NYH37" s="299"/>
      <c r="NYI37" s="299"/>
      <c r="NYJ37" s="299"/>
      <c r="NYK37" s="299"/>
      <c r="NYL37" s="299"/>
      <c r="NYM37" s="299"/>
      <c r="NYN37" s="299"/>
      <c r="NYO37" s="299"/>
      <c r="NYP37" s="299"/>
      <c r="NYQ37" s="299"/>
      <c r="NYR37" s="299"/>
      <c r="NYS37" s="299"/>
      <c r="NYT37" s="299"/>
      <c r="NYU37" s="299"/>
      <c r="NYV37" s="299"/>
      <c r="NYW37" s="299"/>
      <c r="NYX37" s="299"/>
      <c r="NYY37" s="299"/>
      <c r="NYZ37" s="299"/>
      <c r="NZA37" s="299"/>
      <c r="NZB37" s="299"/>
      <c r="NZC37" s="299"/>
      <c r="NZD37" s="299"/>
      <c r="NZE37" s="299"/>
      <c r="NZF37" s="299"/>
      <c r="NZG37" s="299"/>
      <c r="NZH37" s="299"/>
      <c r="NZI37" s="299"/>
      <c r="NZJ37" s="299"/>
      <c r="NZK37" s="299"/>
      <c r="NZL37" s="299"/>
      <c r="NZM37" s="299"/>
      <c r="NZN37" s="299"/>
      <c r="NZO37" s="299"/>
      <c r="NZP37" s="299"/>
      <c r="NZQ37" s="299"/>
      <c r="NZR37" s="299"/>
      <c r="NZS37" s="299"/>
      <c r="NZT37" s="299"/>
      <c r="NZU37" s="299"/>
      <c r="NZV37" s="299"/>
      <c r="NZW37" s="299"/>
      <c r="NZX37" s="299"/>
      <c r="NZY37" s="299"/>
      <c r="NZZ37" s="299"/>
      <c r="OAA37" s="299"/>
      <c r="OAB37" s="299"/>
      <c r="OAC37" s="299"/>
      <c r="OAD37" s="299"/>
      <c r="OAE37" s="299"/>
      <c r="OAF37" s="299"/>
      <c r="OAG37" s="299"/>
      <c r="OAH37" s="299"/>
      <c r="OAI37" s="299"/>
      <c r="OAJ37" s="299"/>
      <c r="OAK37" s="299"/>
      <c r="OAL37" s="299"/>
      <c r="OAM37" s="299"/>
      <c r="OAN37" s="299"/>
      <c r="OAO37" s="299"/>
      <c r="OAP37" s="299"/>
      <c r="OAQ37" s="299"/>
      <c r="OAR37" s="299"/>
      <c r="OAS37" s="299"/>
      <c r="OAT37" s="299"/>
      <c r="OAU37" s="299"/>
      <c r="OAV37" s="299"/>
      <c r="OAW37" s="299"/>
      <c r="OAX37" s="299"/>
      <c r="OAY37" s="299"/>
      <c r="OAZ37" s="299"/>
      <c r="OBA37" s="299"/>
      <c r="OBB37" s="299"/>
      <c r="OBC37" s="299"/>
      <c r="OBD37" s="299"/>
      <c r="OBE37" s="299"/>
      <c r="OBF37" s="299"/>
      <c r="OBG37" s="299"/>
      <c r="OBH37" s="299"/>
      <c r="OBI37" s="299"/>
      <c r="OBJ37" s="299"/>
      <c r="OBK37" s="299"/>
      <c r="OBL37" s="299"/>
      <c r="OBM37" s="299"/>
      <c r="OBN37" s="299"/>
      <c r="OBO37" s="299"/>
      <c r="OBP37" s="299"/>
      <c r="OBQ37" s="299"/>
      <c r="OBR37" s="299"/>
      <c r="OBS37" s="299"/>
      <c r="OBT37" s="299"/>
      <c r="OBU37" s="299"/>
      <c r="OBV37" s="299"/>
      <c r="OBW37" s="299"/>
      <c r="OBX37" s="299"/>
      <c r="OBY37" s="299"/>
      <c r="OBZ37" s="299"/>
      <c r="OCA37" s="299"/>
      <c r="OCB37" s="299"/>
      <c r="OCC37" s="299"/>
      <c r="OCD37" s="299"/>
      <c r="OCE37" s="299"/>
      <c r="OCF37" s="299"/>
      <c r="OCG37" s="299"/>
      <c r="OCH37" s="299"/>
      <c r="OCI37" s="299"/>
      <c r="OCJ37" s="299"/>
      <c r="OCK37" s="299"/>
      <c r="OCL37" s="299"/>
      <c r="OCM37" s="299"/>
      <c r="OCN37" s="299"/>
      <c r="OCO37" s="299"/>
      <c r="OCP37" s="299"/>
      <c r="OCQ37" s="299"/>
      <c r="OCR37" s="299"/>
      <c r="OCS37" s="299"/>
      <c r="OCT37" s="299"/>
      <c r="OCU37" s="299"/>
      <c r="OCV37" s="299"/>
      <c r="OCW37" s="299"/>
      <c r="OCX37" s="299"/>
      <c r="OCY37" s="299"/>
      <c r="OCZ37" s="299"/>
      <c r="ODA37" s="299"/>
      <c r="ODB37" s="299"/>
      <c r="ODC37" s="299"/>
      <c r="ODD37" s="299"/>
      <c r="ODE37" s="299"/>
      <c r="ODF37" s="299"/>
      <c r="ODG37" s="299"/>
      <c r="ODH37" s="299"/>
      <c r="ODI37" s="299"/>
      <c r="ODJ37" s="299"/>
      <c r="ODK37" s="299"/>
      <c r="ODL37" s="299"/>
      <c r="ODM37" s="299"/>
      <c r="ODN37" s="299"/>
      <c r="ODO37" s="299"/>
      <c r="ODP37" s="299"/>
      <c r="ODQ37" s="299"/>
      <c r="ODR37" s="299"/>
      <c r="ODS37" s="299"/>
      <c r="ODT37" s="299"/>
      <c r="ODU37" s="299"/>
      <c r="ODV37" s="299"/>
      <c r="ODW37" s="299"/>
      <c r="ODX37" s="299"/>
      <c r="ODY37" s="299"/>
      <c r="ODZ37" s="299"/>
      <c r="OEA37" s="299"/>
      <c r="OEB37" s="299"/>
      <c r="OEC37" s="299"/>
      <c r="OED37" s="299"/>
      <c r="OEE37" s="299"/>
      <c r="OEF37" s="299"/>
      <c r="OEG37" s="299"/>
      <c r="OEH37" s="299"/>
      <c r="OEI37" s="299"/>
      <c r="OEJ37" s="299"/>
      <c r="OEK37" s="299"/>
      <c r="OEL37" s="299"/>
      <c r="OEM37" s="299"/>
      <c r="OEN37" s="299"/>
      <c r="OEO37" s="299"/>
      <c r="OEP37" s="299"/>
      <c r="OEQ37" s="299"/>
      <c r="OER37" s="299"/>
      <c r="OES37" s="299"/>
      <c r="OET37" s="299"/>
      <c r="OEU37" s="299"/>
      <c r="OEV37" s="299"/>
      <c r="OEW37" s="299"/>
      <c r="OEX37" s="299"/>
      <c r="OEY37" s="299"/>
      <c r="OEZ37" s="299"/>
      <c r="OFA37" s="299"/>
      <c r="OFB37" s="299"/>
      <c r="OFC37" s="299"/>
      <c r="OFD37" s="299"/>
      <c r="OFE37" s="299"/>
      <c r="OFF37" s="299"/>
      <c r="OFG37" s="299"/>
      <c r="OFH37" s="299"/>
      <c r="OFI37" s="299"/>
      <c r="OFJ37" s="299"/>
      <c r="OFK37" s="299"/>
      <c r="OFL37" s="299"/>
      <c r="OFM37" s="299"/>
      <c r="OFN37" s="299"/>
      <c r="OFO37" s="299"/>
      <c r="OFP37" s="299"/>
      <c r="OFQ37" s="299"/>
      <c r="OFR37" s="299"/>
      <c r="OFS37" s="299"/>
      <c r="OFT37" s="299"/>
      <c r="OFU37" s="299"/>
      <c r="OFV37" s="299"/>
      <c r="OFW37" s="299"/>
      <c r="OFX37" s="299"/>
      <c r="OFY37" s="299"/>
      <c r="OFZ37" s="299"/>
      <c r="OGA37" s="299"/>
      <c r="OGB37" s="299"/>
      <c r="OGC37" s="299"/>
      <c r="OGD37" s="299"/>
      <c r="OGE37" s="299"/>
      <c r="OGF37" s="299"/>
      <c r="OGG37" s="299"/>
      <c r="OGH37" s="299"/>
      <c r="OGI37" s="299"/>
      <c r="OGJ37" s="299"/>
      <c r="OGK37" s="299"/>
      <c r="OGL37" s="299"/>
      <c r="OGM37" s="299"/>
      <c r="OGN37" s="299"/>
      <c r="OGO37" s="299"/>
      <c r="OGP37" s="299"/>
      <c r="OGQ37" s="299"/>
      <c r="OGR37" s="299"/>
      <c r="OGS37" s="299"/>
      <c r="OGT37" s="299"/>
      <c r="OGU37" s="299"/>
      <c r="OGV37" s="299"/>
      <c r="OGW37" s="299"/>
      <c r="OGX37" s="299"/>
      <c r="OGY37" s="299"/>
      <c r="OGZ37" s="299"/>
      <c r="OHA37" s="299"/>
      <c r="OHB37" s="299"/>
      <c r="OHC37" s="299"/>
      <c r="OHD37" s="299"/>
      <c r="OHE37" s="299"/>
      <c r="OHF37" s="299"/>
      <c r="OHG37" s="299"/>
      <c r="OHH37" s="299"/>
      <c r="OHI37" s="299"/>
      <c r="OHJ37" s="299"/>
      <c r="OHK37" s="299"/>
      <c r="OHL37" s="299"/>
      <c r="OHM37" s="299"/>
      <c r="OHN37" s="299"/>
      <c r="OHO37" s="299"/>
      <c r="OHP37" s="299"/>
      <c r="OHQ37" s="299"/>
      <c r="OHR37" s="299"/>
      <c r="OHS37" s="299"/>
      <c r="OHT37" s="299"/>
      <c r="OHU37" s="299"/>
      <c r="OHV37" s="299"/>
      <c r="OHW37" s="299"/>
      <c r="OHX37" s="299"/>
      <c r="OHY37" s="299"/>
      <c r="OHZ37" s="299"/>
      <c r="OIA37" s="299"/>
      <c r="OIB37" s="299"/>
      <c r="OIC37" s="299"/>
      <c r="OID37" s="299"/>
      <c r="OIE37" s="299"/>
      <c r="OIF37" s="299"/>
      <c r="OIG37" s="299"/>
      <c r="OIH37" s="299"/>
      <c r="OII37" s="299"/>
      <c r="OIJ37" s="299"/>
      <c r="OIK37" s="299"/>
      <c r="OIL37" s="299"/>
      <c r="OIM37" s="299"/>
      <c r="OIN37" s="299"/>
      <c r="OIO37" s="299"/>
      <c r="OIP37" s="299"/>
      <c r="OIQ37" s="299"/>
      <c r="OIR37" s="299"/>
      <c r="OIS37" s="299"/>
      <c r="OIT37" s="299"/>
      <c r="OIU37" s="299"/>
      <c r="OIV37" s="299"/>
      <c r="OIW37" s="299"/>
      <c r="OIX37" s="299"/>
      <c r="OIY37" s="299"/>
      <c r="OIZ37" s="299"/>
      <c r="OJA37" s="299"/>
      <c r="OJB37" s="299"/>
      <c r="OJC37" s="299"/>
      <c r="OJD37" s="299"/>
      <c r="OJE37" s="299"/>
      <c r="OJF37" s="299"/>
      <c r="OJG37" s="299"/>
      <c r="OJH37" s="299"/>
      <c r="OJI37" s="299"/>
      <c r="OJJ37" s="299"/>
      <c r="OJK37" s="299"/>
      <c r="OJL37" s="299"/>
      <c r="OJM37" s="299"/>
      <c r="OJN37" s="299"/>
      <c r="OJO37" s="299"/>
      <c r="OJP37" s="299"/>
      <c r="OJQ37" s="299"/>
      <c r="OJR37" s="299"/>
      <c r="OJS37" s="299"/>
      <c r="OJT37" s="299"/>
      <c r="OJU37" s="299"/>
      <c r="OJV37" s="299"/>
      <c r="OJW37" s="299"/>
      <c r="OJX37" s="299"/>
      <c r="OJY37" s="299"/>
      <c r="OJZ37" s="299"/>
      <c r="OKA37" s="299"/>
      <c r="OKB37" s="299"/>
      <c r="OKC37" s="299"/>
      <c r="OKD37" s="299"/>
      <c r="OKE37" s="299"/>
      <c r="OKF37" s="299"/>
      <c r="OKG37" s="299"/>
      <c r="OKH37" s="299"/>
      <c r="OKI37" s="299"/>
      <c r="OKJ37" s="299"/>
      <c r="OKK37" s="299"/>
      <c r="OKL37" s="299"/>
      <c r="OKM37" s="299"/>
      <c r="OKN37" s="299"/>
      <c r="OKO37" s="299"/>
      <c r="OKP37" s="299"/>
      <c r="OKQ37" s="299"/>
      <c r="OKR37" s="299"/>
      <c r="OKS37" s="299"/>
      <c r="OKT37" s="299"/>
      <c r="OKU37" s="299"/>
      <c r="OKV37" s="299"/>
      <c r="OKW37" s="299"/>
      <c r="OKX37" s="299"/>
      <c r="OKY37" s="299"/>
      <c r="OKZ37" s="299"/>
      <c r="OLA37" s="299"/>
      <c r="OLB37" s="299"/>
      <c r="OLC37" s="299"/>
      <c r="OLD37" s="299"/>
      <c r="OLE37" s="299"/>
      <c r="OLF37" s="299"/>
      <c r="OLG37" s="299"/>
      <c r="OLH37" s="299"/>
      <c r="OLI37" s="299"/>
      <c r="OLJ37" s="299"/>
      <c r="OLK37" s="299"/>
      <c r="OLL37" s="299"/>
      <c r="OLM37" s="299"/>
      <c r="OLN37" s="299"/>
      <c r="OLO37" s="299"/>
      <c r="OLP37" s="299"/>
      <c r="OLQ37" s="299"/>
      <c r="OLR37" s="299"/>
      <c r="OLS37" s="299"/>
      <c r="OLT37" s="299"/>
      <c r="OLU37" s="299"/>
      <c r="OLV37" s="299"/>
      <c r="OLW37" s="299"/>
      <c r="OLX37" s="299"/>
      <c r="OLY37" s="299"/>
      <c r="OLZ37" s="299"/>
      <c r="OMA37" s="299"/>
      <c r="OMB37" s="299"/>
      <c r="OMC37" s="299"/>
      <c r="OMD37" s="299"/>
      <c r="OME37" s="299"/>
      <c r="OMF37" s="299"/>
      <c r="OMG37" s="299"/>
      <c r="OMH37" s="299"/>
      <c r="OMI37" s="299"/>
      <c r="OMJ37" s="299"/>
      <c r="OMK37" s="299"/>
      <c r="OML37" s="299"/>
      <c r="OMM37" s="299"/>
      <c r="OMN37" s="299"/>
      <c r="OMO37" s="299"/>
      <c r="OMP37" s="299"/>
      <c r="OMQ37" s="299"/>
      <c r="OMR37" s="299"/>
      <c r="OMS37" s="299"/>
      <c r="OMT37" s="299"/>
      <c r="OMU37" s="299"/>
      <c r="OMV37" s="299"/>
      <c r="OMW37" s="299"/>
      <c r="OMX37" s="299"/>
      <c r="OMY37" s="299"/>
      <c r="OMZ37" s="299"/>
      <c r="ONA37" s="299"/>
      <c r="ONB37" s="299"/>
      <c r="ONC37" s="299"/>
      <c r="OND37" s="299"/>
      <c r="ONE37" s="299"/>
      <c r="ONF37" s="299"/>
      <c r="ONG37" s="299"/>
      <c r="ONH37" s="299"/>
      <c r="ONI37" s="299"/>
      <c r="ONJ37" s="299"/>
      <c r="ONK37" s="299"/>
      <c r="ONL37" s="299"/>
      <c r="ONM37" s="299"/>
      <c r="ONN37" s="299"/>
      <c r="ONO37" s="299"/>
      <c r="ONP37" s="299"/>
      <c r="ONQ37" s="299"/>
      <c r="ONR37" s="299"/>
      <c r="ONS37" s="299"/>
      <c r="ONT37" s="299"/>
      <c r="ONU37" s="299"/>
      <c r="ONV37" s="299"/>
      <c r="ONW37" s="299"/>
      <c r="ONX37" s="299"/>
      <c r="ONY37" s="299"/>
      <c r="ONZ37" s="299"/>
      <c r="OOA37" s="299"/>
      <c r="OOB37" s="299"/>
      <c r="OOC37" s="299"/>
      <c r="OOD37" s="299"/>
      <c r="OOE37" s="299"/>
      <c r="OOF37" s="299"/>
      <c r="OOG37" s="299"/>
      <c r="OOH37" s="299"/>
      <c r="OOI37" s="299"/>
      <c r="OOJ37" s="299"/>
      <c r="OOK37" s="299"/>
      <c r="OOL37" s="299"/>
      <c r="OOM37" s="299"/>
      <c r="OON37" s="299"/>
      <c r="OOO37" s="299"/>
      <c r="OOP37" s="299"/>
      <c r="OOQ37" s="299"/>
      <c r="OOR37" s="299"/>
      <c r="OOS37" s="299"/>
      <c r="OOT37" s="299"/>
      <c r="OOU37" s="299"/>
      <c r="OOV37" s="299"/>
      <c r="OOW37" s="299"/>
      <c r="OOX37" s="299"/>
      <c r="OOY37" s="299"/>
      <c r="OOZ37" s="299"/>
      <c r="OPA37" s="299"/>
      <c r="OPB37" s="299"/>
      <c r="OPC37" s="299"/>
      <c r="OPD37" s="299"/>
      <c r="OPE37" s="299"/>
      <c r="OPF37" s="299"/>
      <c r="OPG37" s="299"/>
      <c r="OPH37" s="299"/>
      <c r="OPI37" s="299"/>
      <c r="OPJ37" s="299"/>
      <c r="OPK37" s="299"/>
      <c r="OPL37" s="299"/>
      <c r="OPM37" s="299"/>
      <c r="OPN37" s="299"/>
      <c r="OPO37" s="299"/>
      <c r="OPP37" s="299"/>
      <c r="OPQ37" s="299"/>
      <c r="OPR37" s="299"/>
      <c r="OPS37" s="299"/>
      <c r="OPT37" s="299"/>
      <c r="OPU37" s="299"/>
      <c r="OPV37" s="299"/>
      <c r="OPW37" s="299"/>
      <c r="OPX37" s="299"/>
      <c r="OPY37" s="299"/>
      <c r="OPZ37" s="299"/>
      <c r="OQA37" s="299"/>
      <c r="OQB37" s="299"/>
      <c r="OQC37" s="299"/>
      <c r="OQD37" s="299"/>
      <c r="OQE37" s="299"/>
      <c r="OQF37" s="299"/>
      <c r="OQG37" s="299"/>
      <c r="OQH37" s="299"/>
      <c r="OQI37" s="299"/>
      <c r="OQJ37" s="299"/>
      <c r="OQK37" s="299"/>
      <c r="OQL37" s="299"/>
      <c r="OQM37" s="299"/>
      <c r="OQN37" s="299"/>
      <c r="OQO37" s="299"/>
      <c r="OQP37" s="299"/>
      <c r="OQQ37" s="299"/>
      <c r="OQR37" s="299"/>
      <c r="OQS37" s="299"/>
      <c r="OQT37" s="299"/>
      <c r="OQU37" s="299"/>
      <c r="OQV37" s="299"/>
      <c r="OQW37" s="299"/>
      <c r="OQX37" s="299"/>
      <c r="OQY37" s="299"/>
      <c r="OQZ37" s="299"/>
      <c r="ORA37" s="299"/>
      <c r="ORB37" s="299"/>
      <c r="ORC37" s="299"/>
      <c r="ORD37" s="299"/>
      <c r="ORE37" s="299"/>
      <c r="ORF37" s="299"/>
      <c r="ORG37" s="299"/>
      <c r="ORH37" s="299"/>
      <c r="ORI37" s="299"/>
      <c r="ORJ37" s="299"/>
      <c r="ORK37" s="299"/>
      <c r="ORL37" s="299"/>
      <c r="ORM37" s="299"/>
      <c r="ORN37" s="299"/>
      <c r="ORO37" s="299"/>
      <c r="ORP37" s="299"/>
      <c r="ORQ37" s="299"/>
      <c r="ORR37" s="299"/>
      <c r="ORS37" s="299"/>
      <c r="ORT37" s="299"/>
      <c r="ORU37" s="299"/>
      <c r="ORV37" s="299"/>
      <c r="ORW37" s="299"/>
      <c r="ORX37" s="299"/>
      <c r="ORY37" s="299"/>
      <c r="ORZ37" s="299"/>
      <c r="OSA37" s="299"/>
      <c r="OSB37" s="299"/>
      <c r="OSC37" s="299"/>
      <c r="OSD37" s="299"/>
      <c r="OSE37" s="299"/>
      <c r="OSF37" s="299"/>
      <c r="OSG37" s="299"/>
      <c r="OSH37" s="299"/>
      <c r="OSI37" s="299"/>
      <c r="OSJ37" s="299"/>
      <c r="OSK37" s="299"/>
      <c r="OSL37" s="299"/>
      <c r="OSM37" s="299"/>
      <c r="OSN37" s="299"/>
      <c r="OSO37" s="299"/>
      <c r="OSP37" s="299"/>
      <c r="OSQ37" s="299"/>
      <c r="OSR37" s="299"/>
      <c r="OSS37" s="299"/>
      <c r="OST37" s="299"/>
      <c r="OSU37" s="299"/>
      <c r="OSV37" s="299"/>
      <c r="OSW37" s="299"/>
      <c r="OSX37" s="299"/>
      <c r="OSY37" s="299"/>
      <c r="OSZ37" s="299"/>
      <c r="OTA37" s="299"/>
      <c r="OTB37" s="299"/>
      <c r="OTC37" s="299"/>
      <c r="OTD37" s="299"/>
      <c r="OTE37" s="299"/>
      <c r="OTF37" s="299"/>
      <c r="OTG37" s="299"/>
      <c r="OTH37" s="299"/>
      <c r="OTI37" s="299"/>
      <c r="OTJ37" s="299"/>
      <c r="OTK37" s="299"/>
      <c r="OTL37" s="299"/>
      <c r="OTM37" s="299"/>
      <c r="OTN37" s="299"/>
      <c r="OTO37" s="299"/>
      <c r="OTP37" s="299"/>
      <c r="OTQ37" s="299"/>
      <c r="OTR37" s="299"/>
      <c r="OTS37" s="299"/>
      <c r="OTT37" s="299"/>
      <c r="OTU37" s="299"/>
      <c r="OTV37" s="299"/>
      <c r="OTW37" s="299"/>
      <c r="OTX37" s="299"/>
      <c r="OTY37" s="299"/>
      <c r="OTZ37" s="299"/>
      <c r="OUA37" s="299"/>
      <c r="OUB37" s="299"/>
      <c r="OUC37" s="299"/>
      <c r="OUD37" s="299"/>
      <c r="OUE37" s="299"/>
      <c r="OUF37" s="299"/>
      <c r="OUG37" s="299"/>
      <c r="OUH37" s="299"/>
      <c r="OUI37" s="299"/>
      <c r="OUJ37" s="299"/>
      <c r="OUK37" s="299"/>
      <c r="OUL37" s="299"/>
      <c r="OUM37" s="299"/>
      <c r="OUN37" s="299"/>
      <c r="OUO37" s="299"/>
      <c r="OUP37" s="299"/>
      <c r="OUQ37" s="299"/>
      <c r="OUR37" s="299"/>
      <c r="OUS37" s="299"/>
      <c r="OUT37" s="299"/>
      <c r="OUU37" s="299"/>
      <c r="OUV37" s="299"/>
      <c r="OUW37" s="299"/>
      <c r="OUX37" s="299"/>
      <c r="OUY37" s="299"/>
      <c r="OUZ37" s="299"/>
      <c r="OVA37" s="299"/>
      <c r="OVB37" s="299"/>
      <c r="OVC37" s="299"/>
      <c r="OVD37" s="299"/>
      <c r="OVE37" s="299"/>
      <c r="OVF37" s="299"/>
      <c r="OVG37" s="299"/>
      <c r="OVH37" s="299"/>
      <c r="OVI37" s="299"/>
      <c r="OVJ37" s="299"/>
      <c r="OVK37" s="299"/>
      <c r="OVL37" s="299"/>
      <c r="OVM37" s="299"/>
      <c r="OVN37" s="299"/>
      <c r="OVO37" s="299"/>
      <c r="OVP37" s="299"/>
      <c r="OVQ37" s="299"/>
      <c r="OVR37" s="299"/>
      <c r="OVS37" s="299"/>
      <c r="OVT37" s="299"/>
      <c r="OVU37" s="299"/>
      <c r="OVV37" s="299"/>
      <c r="OVW37" s="299"/>
      <c r="OVX37" s="299"/>
      <c r="OVY37" s="299"/>
      <c r="OVZ37" s="299"/>
      <c r="OWA37" s="299"/>
      <c r="OWB37" s="299"/>
      <c r="OWC37" s="299"/>
      <c r="OWD37" s="299"/>
      <c r="OWE37" s="299"/>
      <c r="OWF37" s="299"/>
      <c r="OWG37" s="299"/>
      <c r="OWH37" s="299"/>
      <c r="OWI37" s="299"/>
      <c r="OWJ37" s="299"/>
      <c r="OWK37" s="299"/>
      <c r="OWL37" s="299"/>
      <c r="OWM37" s="299"/>
      <c r="OWN37" s="299"/>
      <c r="OWO37" s="299"/>
      <c r="OWP37" s="299"/>
      <c r="OWQ37" s="299"/>
      <c r="OWR37" s="299"/>
      <c r="OWS37" s="299"/>
      <c r="OWT37" s="299"/>
      <c r="OWU37" s="299"/>
      <c r="OWV37" s="299"/>
      <c r="OWW37" s="299"/>
      <c r="OWX37" s="299"/>
      <c r="OWY37" s="299"/>
      <c r="OWZ37" s="299"/>
      <c r="OXA37" s="299"/>
      <c r="OXB37" s="299"/>
      <c r="OXC37" s="299"/>
      <c r="OXD37" s="299"/>
      <c r="OXE37" s="299"/>
      <c r="OXF37" s="299"/>
      <c r="OXG37" s="299"/>
      <c r="OXH37" s="299"/>
      <c r="OXI37" s="299"/>
      <c r="OXJ37" s="299"/>
      <c r="OXK37" s="299"/>
      <c r="OXL37" s="299"/>
      <c r="OXM37" s="299"/>
      <c r="OXN37" s="299"/>
      <c r="OXO37" s="299"/>
      <c r="OXP37" s="299"/>
      <c r="OXQ37" s="299"/>
      <c r="OXR37" s="299"/>
      <c r="OXS37" s="299"/>
      <c r="OXT37" s="299"/>
      <c r="OXU37" s="299"/>
      <c r="OXV37" s="299"/>
      <c r="OXW37" s="299"/>
      <c r="OXX37" s="299"/>
      <c r="OXY37" s="299"/>
      <c r="OXZ37" s="299"/>
      <c r="OYA37" s="299"/>
      <c r="OYB37" s="299"/>
      <c r="OYC37" s="299"/>
      <c r="OYD37" s="299"/>
      <c r="OYE37" s="299"/>
      <c r="OYF37" s="299"/>
      <c r="OYG37" s="299"/>
      <c r="OYH37" s="299"/>
      <c r="OYI37" s="299"/>
      <c r="OYJ37" s="299"/>
      <c r="OYK37" s="299"/>
      <c r="OYL37" s="299"/>
      <c r="OYM37" s="299"/>
      <c r="OYN37" s="299"/>
      <c r="OYO37" s="299"/>
      <c r="OYP37" s="299"/>
      <c r="OYQ37" s="299"/>
      <c r="OYR37" s="299"/>
      <c r="OYS37" s="299"/>
      <c r="OYT37" s="299"/>
      <c r="OYU37" s="299"/>
      <c r="OYV37" s="299"/>
      <c r="OYW37" s="299"/>
      <c r="OYX37" s="299"/>
      <c r="OYY37" s="299"/>
      <c r="OYZ37" s="299"/>
      <c r="OZA37" s="299"/>
      <c r="OZB37" s="299"/>
      <c r="OZC37" s="299"/>
      <c r="OZD37" s="299"/>
      <c r="OZE37" s="299"/>
      <c r="OZF37" s="299"/>
      <c r="OZG37" s="299"/>
      <c r="OZH37" s="299"/>
      <c r="OZI37" s="299"/>
      <c r="OZJ37" s="299"/>
      <c r="OZK37" s="299"/>
      <c r="OZL37" s="299"/>
      <c r="OZM37" s="299"/>
      <c r="OZN37" s="299"/>
      <c r="OZO37" s="299"/>
      <c r="OZP37" s="299"/>
      <c r="OZQ37" s="299"/>
      <c r="OZR37" s="299"/>
      <c r="OZS37" s="299"/>
      <c r="OZT37" s="299"/>
      <c r="OZU37" s="299"/>
      <c r="OZV37" s="299"/>
      <c r="OZW37" s="299"/>
      <c r="OZX37" s="299"/>
      <c r="OZY37" s="299"/>
      <c r="OZZ37" s="299"/>
      <c r="PAA37" s="299"/>
      <c r="PAB37" s="299"/>
      <c r="PAC37" s="299"/>
      <c r="PAD37" s="299"/>
      <c r="PAE37" s="299"/>
      <c r="PAF37" s="299"/>
      <c r="PAG37" s="299"/>
      <c r="PAH37" s="299"/>
      <c r="PAI37" s="299"/>
      <c r="PAJ37" s="299"/>
      <c r="PAK37" s="299"/>
      <c r="PAL37" s="299"/>
      <c r="PAM37" s="299"/>
      <c r="PAN37" s="299"/>
      <c r="PAO37" s="299"/>
      <c r="PAP37" s="299"/>
      <c r="PAQ37" s="299"/>
      <c r="PAR37" s="299"/>
      <c r="PAS37" s="299"/>
      <c r="PAT37" s="299"/>
      <c r="PAU37" s="299"/>
      <c r="PAV37" s="299"/>
      <c r="PAW37" s="299"/>
      <c r="PAX37" s="299"/>
      <c r="PAY37" s="299"/>
      <c r="PAZ37" s="299"/>
      <c r="PBA37" s="299"/>
      <c r="PBB37" s="299"/>
      <c r="PBC37" s="299"/>
      <c r="PBD37" s="299"/>
      <c r="PBE37" s="299"/>
      <c r="PBF37" s="299"/>
      <c r="PBG37" s="299"/>
      <c r="PBH37" s="299"/>
      <c r="PBI37" s="299"/>
      <c r="PBJ37" s="299"/>
      <c r="PBK37" s="299"/>
      <c r="PBL37" s="299"/>
      <c r="PBM37" s="299"/>
      <c r="PBN37" s="299"/>
      <c r="PBO37" s="299"/>
      <c r="PBP37" s="299"/>
      <c r="PBQ37" s="299"/>
      <c r="PBR37" s="299"/>
      <c r="PBS37" s="299"/>
      <c r="PBT37" s="299"/>
      <c r="PBU37" s="299"/>
      <c r="PBV37" s="299"/>
      <c r="PBW37" s="299"/>
      <c r="PBX37" s="299"/>
      <c r="PBY37" s="299"/>
      <c r="PBZ37" s="299"/>
      <c r="PCA37" s="299"/>
      <c r="PCB37" s="299"/>
      <c r="PCC37" s="299"/>
      <c r="PCD37" s="299"/>
      <c r="PCE37" s="299"/>
      <c r="PCF37" s="299"/>
      <c r="PCG37" s="299"/>
      <c r="PCH37" s="299"/>
      <c r="PCI37" s="299"/>
      <c r="PCJ37" s="299"/>
      <c r="PCK37" s="299"/>
      <c r="PCL37" s="299"/>
      <c r="PCM37" s="299"/>
      <c r="PCN37" s="299"/>
      <c r="PCO37" s="299"/>
      <c r="PCP37" s="299"/>
      <c r="PCQ37" s="299"/>
      <c r="PCR37" s="299"/>
      <c r="PCS37" s="299"/>
      <c r="PCT37" s="299"/>
      <c r="PCU37" s="299"/>
      <c r="PCV37" s="299"/>
      <c r="PCW37" s="299"/>
      <c r="PCX37" s="299"/>
      <c r="PCY37" s="299"/>
      <c r="PCZ37" s="299"/>
      <c r="PDA37" s="299"/>
      <c r="PDB37" s="299"/>
      <c r="PDC37" s="299"/>
      <c r="PDD37" s="299"/>
      <c r="PDE37" s="299"/>
      <c r="PDF37" s="299"/>
      <c r="PDG37" s="299"/>
      <c r="PDH37" s="299"/>
      <c r="PDI37" s="299"/>
      <c r="PDJ37" s="299"/>
      <c r="PDK37" s="299"/>
      <c r="PDL37" s="299"/>
      <c r="PDM37" s="299"/>
      <c r="PDN37" s="299"/>
      <c r="PDO37" s="299"/>
      <c r="PDP37" s="299"/>
      <c r="PDQ37" s="299"/>
      <c r="PDR37" s="299"/>
      <c r="PDS37" s="299"/>
      <c r="PDT37" s="299"/>
      <c r="PDU37" s="299"/>
      <c r="PDV37" s="299"/>
      <c r="PDW37" s="299"/>
      <c r="PDX37" s="299"/>
      <c r="PDY37" s="299"/>
      <c r="PDZ37" s="299"/>
      <c r="PEA37" s="299"/>
      <c r="PEB37" s="299"/>
      <c r="PEC37" s="299"/>
      <c r="PED37" s="299"/>
      <c r="PEE37" s="299"/>
      <c r="PEF37" s="299"/>
      <c r="PEG37" s="299"/>
      <c r="PEH37" s="299"/>
      <c r="PEI37" s="299"/>
      <c r="PEJ37" s="299"/>
      <c r="PEK37" s="299"/>
      <c r="PEL37" s="299"/>
      <c r="PEM37" s="299"/>
      <c r="PEN37" s="299"/>
      <c r="PEO37" s="299"/>
      <c r="PEP37" s="299"/>
      <c r="PEQ37" s="299"/>
      <c r="PER37" s="299"/>
      <c r="PES37" s="299"/>
      <c r="PET37" s="299"/>
      <c r="PEU37" s="299"/>
      <c r="PEV37" s="299"/>
      <c r="PEW37" s="299"/>
      <c r="PEX37" s="299"/>
      <c r="PEY37" s="299"/>
      <c r="PEZ37" s="299"/>
      <c r="PFA37" s="299"/>
      <c r="PFB37" s="299"/>
      <c r="PFC37" s="299"/>
      <c r="PFD37" s="299"/>
      <c r="PFE37" s="299"/>
      <c r="PFF37" s="299"/>
      <c r="PFG37" s="299"/>
      <c r="PFH37" s="299"/>
      <c r="PFI37" s="299"/>
      <c r="PFJ37" s="299"/>
      <c r="PFK37" s="299"/>
      <c r="PFL37" s="299"/>
      <c r="PFM37" s="299"/>
      <c r="PFN37" s="299"/>
      <c r="PFO37" s="299"/>
      <c r="PFP37" s="299"/>
      <c r="PFQ37" s="299"/>
      <c r="PFR37" s="299"/>
      <c r="PFS37" s="299"/>
      <c r="PFT37" s="299"/>
      <c r="PFU37" s="299"/>
      <c r="PFV37" s="299"/>
      <c r="PFW37" s="299"/>
      <c r="PFX37" s="299"/>
      <c r="PFY37" s="299"/>
      <c r="PFZ37" s="299"/>
      <c r="PGA37" s="299"/>
      <c r="PGB37" s="299"/>
      <c r="PGC37" s="299"/>
      <c r="PGD37" s="299"/>
      <c r="PGE37" s="299"/>
      <c r="PGF37" s="299"/>
      <c r="PGG37" s="299"/>
      <c r="PGH37" s="299"/>
      <c r="PGI37" s="299"/>
      <c r="PGJ37" s="299"/>
      <c r="PGK37" s="299"/>
      <c r="PGL37" s="299"/>
      <c r="PGM37" s="299"/>
      <c r="PGN37" s="299"/>
      <c r="PGO37" s="299"/>
      <c r="PGP37" s="299"/>
      <c r="PGQ37" s="299"/>
      <c r="PGR37" s="299"/>
      <c r="PGS37" s="299"/>
      <c r="PGT37" s="299"/>
      <c r="PGU37" s="299"/>
      <c r="PGV37" s="299"/>
      <c r="PGW37" s="299"/>
      <c r="PGX37" s="299"/>
      <c r="PGY37" s="299"/>
      <c r="PGZ37" s="299"/>
      <c r="PHA37" s="299"/>
      <c r="PHB37" s="299"/>
      <c r="PHC37" s="299"/>
      <c r="PHD37" s="299"/>
      <c r="PHE37" s="299"/>
      <c r="PHF37" s="299"/>
      <c r="PHG37" s="299"/>
      <c r="PHH37" s="299"/>
      <c r="PHI37" s="299"/>
      <c r="PHJ37" s="299"/>
      <c r="PHK37" s="299"/>
      <c r="PHL37" s="299"/>
      <c r="PHM37" s="299"/>
      <c r="PHN37" s="299"/>
      <c r="PHO37" s="299"/>
      <c r="PHP37" s="299"/>
      <c r="PHQ37" s="299"/>
      <c r="PHR37" s="299"/>
      <c r="PHS37" s="299"/>
      <c r="PHT37" s="299"/>
      <c r="PHU37" s="299"/>
      <c r="PHV37" s="299"/>
      <c r="PHW37" s="299"/>
      <c r="PHX37" s="299"/>
      <c r="PHY37" s="299"/>
      <c r="PHZ37" s="299"/>
      <c r="PIA37" s="299"/>
      <c r="PIB37" s="299"/>
      <c r="PIC37" s="299"/>
      <c r="PID37" s="299"/>
      <c r="PIE37" s="299"/>
      <c r="PIF37" s="299"/>
      <c r="PIG37" s="299"/>
      <c r="PIH37" s="299"/>
      <c r="PII37" s="299"/>
      <c r="PIJ37" s="299"/>
      <c r="PIK37" s="299"/>
      <c r="PIL37" s="299"/>
      <c r="PIM37" s="299"/>
      <c r="PIN37" s="299"/>
      <c r="PIO37" s="299"/>
      <c r="PIP37" s="299"/>
      <c r="PIQ37" s="299"/>
      <c r="PIR37" s="299"/>
      <c r="PIS37" s="299"/>
      <c r="PIT37" s="299"/>
      <c r="PIU37" s="299"/>
      <c r="PIV37" s="299"/>
      <c r="PIW37" s="299"/>
      <c r="PIX37" s="299"/>
      <c r="PIY37" s="299"/>
      <c r="PIZ37" s="299"/>
      <c r="PJA37" s="299"/>
      <c r="PJB37" s="299"/>
      <c r="PJC37" s="299"/>
      <c r="PJD37" s="299"/>
      <c r="PJE37" s="299"/>
      <c r="PJF37" s="299"/>
      <c r="PJG37" s="299"/>
      <c r="PJH37" s="299"/>
      <c r="PJI37" s="299"/>
      <c r="PJJ37" s="299"/>
      <c r="PJK37" s="299"/>
      <c r="PJL37" s="299"/>
      <c r="PJM37" s="299"/>
      <c r="PJN37" s="299"/>
      <c r="PJO37" s="299"/>
      <c r="PJP37" s="299"/>
      <c r="PJQ37" s="299"/>
      <c r="PJR37" s="299"/>
      <c r="PJS37" s="299"/>
      <c r="PJT37" s="299"/>
      <c r="PJU37" s="299"/>
      <c r="PJV37" s="299"/>
      <c r="PJW37" s="299"/>
      <c r="PJX37" s="299"/>
      <c r="PJY37" s="299"/>
      <c r="PJZ37" s="299"/>
      <c r="PKA37" s="299"/>
      <c r="PKB37" s="299"/>
      <c r="PKC37" s="299"/>
      <c r="PKD37" s="299"/>
      <c r="PKE37" s="299"/>
      <c r="PKF37" s="299"/>
      <c r="PKG37" s="299"/>
      <c r="PKH37" s="299"/>
      <c r="PKI37" s="299"/>
      <c r="PKJ37" s="299"/>
      <c r="PKK37" s="299"/>
      <c r="PKL37" s="299"/>
      <c r="PKM37" s="299"/>
      <c r="PKN37" s="299"/>
      <c r="PKO37" s="299"/>
      <c r="PKP37" s="299"/>
      <c r="PKQ37" s="299"/>
      <c r="PKR37" s="299"/>
      <c r="PKS37" s="299"/>
      <c r="PKT37" s="299"/>
      <c r="PKU37" s="299"/>
      <c r="PKV37" s="299"/>
      <c r="PKW37" s="299"/>
      <c r="PKX37" s="299"/>
      <c r="PKY37" s="299"/>
      <c r="PKZ37" s="299"/>
      <c r="PLA37" s="299"/>
      <c r="PLB37" s="299"/>
      <c r="PLC37" s="299"/>
      <c r="PLD37" s="299"/>
      <c r="PLE37" s="299"/>
      <c r="PLF37" s="299"/>
      <c r="PLG37" s="299"/>
      <c r="PLH37" s="299"/>
      <c r="PLI37" s="299"/>
      <c r="PLJ37" s="299"/>
      <c r="PLK37" s="299"/>
      <c r="PLL37" s="299"/>
      <c r="PLM37" s="299"/>
      <c r="PLN37" s="299"/>
      <c r="PLO37" s="299"/>
      <c r="PLP37" s="299"/>
      <c r="PLQ37" s="299"/>
      <c r="PLR37" s="299"/>
      <c r="PLS37" s="299"/>
      <c r="PLT37" s="299"/>
      <c r="PLU37" s="299"/>
      <c r="PLV37" s="299"/>
      <c r="PLW37" s="299"/>
      <c r="PLX37" s="299"/>
      <c r="PLY37" s="299"/>
      <c r="PLZ37" s="299"/>
      <c r="PMA37" s="299"/>
      <c r="PMB37" s="299"/>
      <c r="PMC37" s="299"/>
      <c r="PMD37" s="299"/>
      <c r="PME37" s="299"/>
      <c r="PMF37" s="299"/>
      <c r="PMG37" s="299"/>
      <c r="PMH37" s="299"/>
      <c r="PMI37" s="299"/>
      <c r="PMJ37" s="299"/>
      <c r="PMK37" s="299"/>
      <c r="PML37" s="299"/>
      <c r="PMM37" s="299"/>
      <c r="PMN37" s="299"/>
      <c r="PMO37" s="299"/>
      <c r="PMP37" s="299"/>
      <c r="PMQ37" s="299"/>
      <c r="PMR37" s="299"/>
      <c r="PMS37" s="299"/>
      <c r="PMT37" s="299"/>
      <c r="PMU37" s="299"/>
      <c r="PMV37" s="299"/>
      <c r="PMW37" s="299"/>
      <c r="PMX37" s="299"/>
      <c r="PMY37" s="299"/>
      <c r="PMZ37" s="299"/>
      <c r="PNA37" s="299"/>
      <c r="PNB37" s="299"/>
      <c r="PNC37" s="299"/>
      <c r="PND37" s="299"/>
      <c r="PNE37" s="299"/>
      <c r="PNF37" s="299"/>
      <c r="PNG37" s="299"/>
      <c r="PNH37" s="299"/>
      <c r="PNI37" s="299"/>
      <c r="PNJ37" s="299"/>
      <c r="PNK37" s="299"/>
      <c r="PNL37" s="299"/>
      <c r="PNM37" s="299"/>
      <c r="PNN37" s="299"/>
      <c r="PNO37" s="299"/>
      <c r="PNP37" s="299"/>
      <c r="PNQ37" s="299"/>
      <c r="PNR37" s="299"/>
      <c r="PNS37" s="299"/>
      <c r="PNT37" s="299"/>
      <c r="PNU37" s="299"/>
      <c r="PNV37" s="299"/>
      <c r="PNW37" s="299"/>
      <c r="PNX37" s="299"/>
      <c r="PNY37" s="299"/>
      <c r="PNZ37" s="299"/>
      <c r="POA37" s="299"/>
      <c r="POB37" s="299"/>
      <c r="POC37" s="299"/>
      <c r="POD37" s="299"/>
      <c r="POE37" s="299"/>
      <c r="POF37" s="299"/>
      <c r="POG37" s="299"/>
      <c r="POH37" s="299"/>
      <c r="POI37" s="299"/>
      <c r="POJ37" s="299"/>
      <c r="POK37" s="299"/>
      <c r="POL37" s="299"/>
      <c r="POM37" s="299"/>
      <c r="PON37" s="299"/>
      <c r="POO37" s="299"/>
      <c r="POP37" s="299"/>
      <c r="POQ37" s="299"/>
      <c r="POR37" s="299"/>
      <c r="POS37" s="299"/>
      <c r="POT37" s="299"/>
      <c r="POU37" s="299"/>
      <c r="POV37" s="299"/>
      <c r="POW37" s="299"/>
      <c r="POX37" s="299"/>
      <c r="POY37" s="299"/>
      <c r="POZ37" s="299"/>
      <c r="PPA37" s="299"/>
      <c r="PPB37" s="299"/>
      <c r="PPC37" s="299"/>
      <c r="PPD37" s="299"/>
      <c r="PPE37" s="299"/>
      <c r="PPF37" s="299"/>
      <c r="PPG37" s="299"/>
      <c r="PPH37" s="299"/>
      <c r="PPI37" s="299"/>
      <c r="PPJ37" s="299"/>
      <c r="PPK37" s="299"/>
      <c r="PPL37" s="299"/>
      <c r="PPM37" s="299"/>
      <c r="PPN37" s="299"/>
      <c r="PPO37" s="299"/>
      <c r="PPP37" s="299"/>
      <c r="PPQ37" s="299"/>
      <c r="PPR37" s="299"/>
      <c r="PPS37" s="299"/>
      <c r="PPT37" s="299"/>
      <c r="PPU37" s="299"/>
      <c r="PPV37" s="299"/>
      <c r="PPW37" s="299"/>
      <c r="PPX37" s="299"/>
      <c r="PPY37" s="299"/>
      <c r="PPZ37" s="299"/>
      <c r="PQA37" s="299"/>
      <c r="PQB37" s="299"/>
      <c r="PQC37" s="299"/>
      <c r="PQD37" s="299"/>
      <c r="PQE37" s="299"/>
      <c r="PQF37" s="299"/>
      <c r="PQG37" s="299"/>
      <c r="PQH37" s="299"/>
      <c r="PQI37" s="299"/>
      <c r="PQJ37" s="299"/>
      <c r="PQK37" s="299"/>
      <c r="PQL37" s="299"/>
      <c r="PQM37" s="299"/>
      <c r="PQN37" s="299"/>
      <c r="PQO37" s="299"/>
      <c r="PQP37" s="299"/>
      <c r="PQQ37" s="299"/>
      <c r="PQR37" s="299"/>
      <c r="PQS37" s="299"/>
      <c r="PQT37" s="299"/>
      <c r="PQU37" s="299"/>
      <c r="PQV37" s="299"/>
      <c r="PQW37" s="299"/>
      <c r="PQX37" s="299"/>
      <c r="PQY37" s="299"/>
      <c r="PQZ37" s="299"/>
      <c r="PRA37" s="299"/>
      <c r="PRB37" s="299"/>
      <c r="PRC37" s="299"/>
      <c r="PRD37" s="299"/>
      <c r="PRE37" s="299"/>
      <c r="PRF37" s="299"/>
      <c r="PRG37" s="299"/>
      <c r="PRH37" s="299"/>
      <c r="PRI37" s="299"/>
      <c r="PRJ37" s="299"/>
      <c r="PRK37" s="299"/>
      <c r="PRL37" s="299"/>
      <c r="PRM37" s="299"/>
      <c r="PRN37" s="299"/>
      <c r="PRO37" s="299"/>
      <c r="PRP37" s="299"/>
      <c r="PRQ37" s="299"/>
      <c r="PRR37" s="299"/>
      <c r="PRS37" s="299"/>
      <c r="PRT37" s="299"/>
      <c r="PRU37" s="299"/>
      <c r="PRV37" s="299"/>
      <c r="PRW37" s="299"/>
      <c r="PRX37" s="299"/>
      <c r="PRY37" s="299"/>
      <c r="PRZ37" s="299"/>
      <c r="PSA37" s="299"/>
      <c r="PSB37" s="299"/>
      <c r="PSC37" s="299"/>
      <c r="PSD37" s="299"/>
      <c r="PSE37" s="299"/>
      <c r="PSF37" s="299"/>
      <c r="PSG37" s="299"/>
      <c r="PSH37" s="299"/>
      <c r="PSI37" s="299"/>
      <c r="PSJ37" s="299"/>
      <c r="PSK37" s="299"/>
      <c r="PSL37" s="299"/>
      <c r="PSM37" s="299"/>
      <c r="PSN37" s="299"/>
      <c r="PSO37" s="299"/>
      <c r="PSP37" s="299"/>
      <c r="PSQ37" s="299"/>
      <c r="PSR37" s="299"/>
      <c r="PSS37" s="299"/>
      <c r="PST37" s="299"/>
      <c r="PSU37" s="299"/>
      <c r="PSV37" s="299"/>
      <c r="PSW37" s="299"/>
      <c r="PSX37" s="299"/>
      <c r="PSY37" s="299"/>
      <c r="PSZ37" s="299"/>
      <c r="PTA37" s="299"/>
      <c r="PTB37" s="299"/>
      <c r="PTC37" s="299"/>
      <c r="PTD37" s="299"/>
      <c r="PTE37" s="299"/>
      <c r="PTF37" s="299"/>
      <c r="PTG37" s="299"/>
      <c r="PTH37" s="299"/>
      <c r="PTI37" s="299"/>
      <c r="PTJ37" s="299"/>
      <c r="PTK37" s="299"/>
      <c r="PTL37" s="299"/>
      <c r="PTM37" s="299"/>
      <c r="PTN37" s="299"/>
      <c r="PTO37" s="299"/>
      <c r="PTP37" s="299"/>
      <c r="PTQ37" s="299"/>
      <c r="PTR37" s="299"/>
      <c r="PTS37" s="299"/>
      <c r="PTT37" s="299"/>
      <c r="PTU37" s="299"/>
      <c r="PTV37" s="299"/>
      <c r="PTW37" s="299"/>
      <c r="PTX37" s="299"/>
      <c r="PTY37" s="299"/>
      <c r="PTZ37" s="299"/>
      <c r="PUA37" s="299"/>
      <c r="PUB37" s="299"/>
      <c r="PUC37" s="299"/>
      <c r="PUD37" s="299"/>
      <c r="PUE37" s="299"/>
      <c r="PUF37" s="299"/>
      <c r="PUG37" s="299"/>
      <c r="PUH37" s="299"/>
      <c r="PUI37" s="299"/>
      <c r="PUJ37" s="299"/>
      <c r="PUK37" s="299"/>
      <c r="PUL37" s="299"/>
      <c r="PUM37" s="299"/>
      <c r="PUN37" s="299"/>
      <c r="PUO37" s="299"/>
      <c r="PUP37" s="299"/>
      <c r="PUQ37" s="299"/>
      <c r="PUR37" s="299"/>
      <c r="PUS37" s="299"/>
      <c r="PUT37" s="299"/>
      <c r="PUU37" s="299"/>
      <c r="PUV37" s="299"/>
      <c r="PUW37" s="299"/>
      <c r="PUX37" s="299"/>
      <c r="PUY37" s="299"/>
      <c r="PUZ37" s="299"/>
      <c r="PVA37" s="299"/>
      <c r="PVB37" s="299"/>
      <c r="PVC37" s="299"/>
      <c r="PVD37" s="299"/>
      <c r="PVE37" s="299"/>
      <c r="PVF37" s="299"/>
      <c r="PVG37" s="299"/>
      <c r="PVH37" s="299"/>
      <c r="PVI37" s="299"/>
      <c r="PVJ37" s="299"/>
      <c r="PVK37" s="299"/>
      <c r="PVL37" s="299"/>
      <c r="PVM37" s="299"/>
      <c r="PVN37" s="299"/>
      <c r="PVO37" s="299"/>
      <c r="PVP37" s="299"/>
      <c r="PVQ37" s="299"/>
      <c r="PVR37" s="299"/>
      <c r="PVS37" s="299"/>
      <c r="PVT37" s="299"/>
      <c r="PVU37" s="299"/>
      <c r="PVV37" s="299"/>
      <c r="PVW37" s="299"/>
      <c r="PVX37" s="299"/>
      <c r="PVY37" s="299"/>
      <c r="PVZ37" s="299"/>
      <c r="PWA37" s="299"/>
      <c r="PWB37" s="299"/>
      <c r="PWC37" s="299"/>
      <c r="PWD37" s="299"/>
      <c r="PWE37" s="299"/>
      <c r="PWF37" s="299"/>
      <c r="PWG37" s="299"/>
      <c r="PWH37" s="299"/>
      <c r="PWI37" s="299"/>
      <c r="PWJ37" s="299"/>
      <c r="PWK37" s="299"/>
      <c r="PWL37" s="299"/>
      <c r="PWM37" s="299"/>
      <c r="PWN37" s="299"/>
      <c r="PWO37" s="299"/>
      <c r="PWP37" s="299"/>
      <c r="PWQ37" s="299"/>
      <c r="PWR37" s="299"/>
      <c r="PWS37" s="299"/>
      <c r="PWT37" s="299"/>
      <c r="PWU37" s="299"/>
      <c r="PWV37" s="299"/>
      <c r="PWW37" s="299"/>
      <c r="PWX37" s="299"/>
      <c r="PWY37" s="299"/>
      <c r="PWZ37" s="299"/>
      <c r="PXA37" s="299"/>
      <c r="PXB37" s="299"/>
      <c r="PXC37" s="299"/>
      <c r="PXD37" s="299"/>
      <c r="PXE37" s="299"/>
      <c r="PXF37" s="299"/>
      <c r="PXG37" s="299"/>
      <c r="PXH37" s="299"/>
      <c r="PXI37" s="299"/>
      <c r="PXJ37" s="299"/>
      <c r="PXK37" s="299"/>
      <c r="PXL37" s="299"/>
      <c r="PXM37" s="299"/>
      <c r="PXN37" s="299"/>
      <c r="PXO37" s="299"/>
      <c r="PXP37" s="299"/>
      <c r="PXQ37" s="299"/>
      <c r="PXR37" s="299"/>
      <c r="PXS37" s="299"/>
      <c r="PXT37" s="299"/>
      <c r="PXU37" s="299"/>
      <c r="PXV37" s="299"/>
      <c r="PXW37" s="299"/>
      <c r="PXX37" s="299"/>
      <c r="PXY37" s="299"/>
      <c r="PXZ37" s="299"/>
      <c r="PYA37" s="299"/>
      <c r="PYB37" s="299"/>
      <c r="PYC37" s="299"/>
      <c r="PYD37" s="299"/>
      <c r="PYE37" s="299"/>
      <c r="PYF37" s="299"/>
      <c r="PYG37" s="299"/>
      <c r="PYH37" s="299"/>
      <c r="PYI37" s="299"/>
      <c r="PYJ37" s="299"/>
      <c r="PYK37" s="299"/>
      <c r="PYL37" s="299"/>
      <c r="PYM37" s="299"/>
      <c r="PYN37" s="299"/>
      <c r="PYO37" s="299"/>
      <c r="PYP37" s="299"/>
      <c r="PYQ37" s="299"/>
      <c r="PYR37" s="299"/>
      <c r="PYS37" s="299"/>
      <c r="PYT37" s="299"/>
      <c r="PYU37" s="299"/>
      <c r="PYV37" s="299"/>
      <c r="PYW37" s="299"/>
      <c r="PYX37" s="299"/>
      <c r="PYY37" s="299"/>
      <c r="PYZ37" s="299"/>
      <c r="PZA37" s="299"/>
      <c r="PZB37" s="299"/>
      <c r="PZC37" s="299"/>
      <c r="PZD37" s="299"/>
      <c r="PZE37" s="299"/>
      <c r="PZF37" s="299"/>
      <c r="PZG37" s="299"/>
      <c r="PZH37" s="299"/>
      <c r="PZI37" s="299"/>
      <c r="PZJ37" s="299"/>
      <c r="PZK37" s="299"/>
      <c r="PZL37" s="299"/>
      <c r="PZM37" s="299"/>
      <c r="PZN37" s="299"/>
      <c r="PZO37" s="299"/>
      <c r="PZP37" s="299"/>
      <c r="PZQ37" s="299"/>
      <c r="PZR37" s="299"/>
      <c r="PZS37" s="299"/>
      <c r="PZT37" s="299"/>
      <c r="PZU37" s="299"/>
      <c r="PZV37" s="299"/>
      <c r="PZW37" s="299"/>
      <c r="PZX37" s="299"/>
      <c r="PZY37" s="299"/>
      <c r="PZZ37" s="299"/>
      <c r="QAA37" s="299"/>
      <c r="QAB37" s="299"/>
      <c r="QAC37" s="299"/>
      <c r="QAD37" s="299"/>
      <c r="QAE37" s="299"/>
      <c r="QAF37" s="299"/>
      <c r="QAG37" s="299"/>
      <c r="QAH37" s="299"/>
      <c r="QAI37" s="299"/>
      <c r="QAJ37" s="299"/>
      <c r="QAK37" s="299"/>
      <c r="QAL37" s="299"/>
      <c r="QAM37" s="299"/>
      <c r="QAN37" s="299"/>
      <c r="QAO37" s="299"/>
      <c r="QAP37" s="299"/>
      <c r="QAQ37" s="299"/>
      <c r="QAR37" s="299"/>
      <c r="QAS37" s="299"/>
      <c r="QAT37" s="299"/>
      <c r="QAU37" s="299"/>
      <c r="QAV37" s="299"/>
      <c r="QAW37" s="299"/>
      <c r="QAX37" s="299"/>
      <c r="QAY37" s="299"/>
      <c r="QAZ37" s="299"/>
      <c r="QBA37" s="299"/>
      <c r="QBB37" s="299"/>
      <c r="QBC37" s="299"/>
      <c r="QBD37" s="299"/>
      <c r="QBE37" s="299"/>
      <c r="QBF37" s="299"/>
      <c r="QBG37" s="299"/>
      <c r="QBH37" s="299"/>
      <c r="QBI37" s="299"/>
      <c r="QBJ37" s="299"/>
      <c r="QBK37" s="299"/>
      <c r="QBL37" s="299"/>
      <c r="QBM37" s="299"/>
      <c r="QBN37" s="299"/>
      <c r="QBO37" s="299"/>
      <c r="QBP37" s="299"/>
      <c r="QBQ37" s="299"/>
      <c r="QBR37" s="299"/>
      <c r="QBS37" s="299"/>
      <c r="QBT37" s="299"/>
      <c r="QBU37" s="299"/>
      <c r="QBV37" s="299"/>
      <c r="QBW37" s="299"/>
      <c r="QBX37" s="299"/>
      <c r="QBY37" s="299"/>
      <c r="QBZ37" s="299"/>
      <c r="QCA37" s="299"/>
      <c r="QCB37" s="299"/>
      <c r="QCC37" s="299"/>
      <c r="QCD37" s="299"/>
      <c r="QCE37" s="299"/>
      <c r="QCF37" s="299"/>
      <c r="QCG37" s="299"/>
      <c r="QCH37" s="299"/>
      <c r="QCI37" s="299"/>
      <c r="QCJ37" s="299"/>
      <c r="QCK37" s="299"/>
      <c r="QCL37" s="299"/>
      <c r="QCM37" s="299"/>
      <c r="QCN37" s="299"/>
      <c r="QCO37" s="299"/>
      <c r="QCP37" s="299"/>
      <c r="QCQ37" s="299"/>
      <c r="QCR37" s="299"/>
      <c r="QCS37" s="299"/>
      <c r="QCT37" s="299"/>
      <c r="QCU37" s="299"/>
      <c r="QCV37" s="299"/>
      <c r="QCW37" s="299"/>
      <c r="QCX37" s="299"/>
      <c r="QCY37" s="299"/>
      <c r="QCZ37" s="299"/>
      <c r="QDA37" s="299"/>
      <c r="QDB37" s="299"/>
      <c r="QDC37" s="299"/>
      <c r="QDD37" s="299"/>
      <c r="QDE37" s="299"/>
      <c r="QDF37" s="299"/>
      <c r="QDG37" s="299"/>
      <c r="QDH37" s="299"/>
      <c r="QDI37" s="299"/>
      <c r="QDJ37" s="299"/>
      <c r="QDK37" s="299"/>
      <c r="QDL37" s="299"/>
      <c r="QDM37" s="299"/>
      <c r="QDN37" s="299"/>
      <c r="QDO37" s="299"/>
      <c r="QDP37" s="299"/>
      <c r="QDQ37" s="299"/>
      <c r="QDR37" s="299"/>
      <c r="QDS37" s="299"/>
      <c r="QDT37" s="299"/>
      <c r="QDU37" s="299"/>
      <c r="QDV37" s="299"/>
      <c r="QDW37" s="299"/>
      <c r="QDX37" s="299"/>
      <c r="QDY37" s="299"/>
      <c r="QDZ37" s="299"/>
      <c r="QEA37" s="299"/>
      <c r="QEB37" s="299"/>
      <c r="QEC37" s="299"/>
      <c r="QED37" s="299"/>
      <c r="QEE37" s="299"/>
      <c r="QEF37" s="299"/>
      <c r="QEG37" s="299"/>
      <c r="QEH37" s="299"/>
      <c r="QEI37" s="299"/>
      <c r="QEJ37" s="299"/>
      <c r="QEK37" s="299"/>
      <c r="QEL37" s="299"/>
      <c r="QEM37" s="299"/>
      <c r="QEN37" s="299"/>
      <c r="QEO37" s="299"/>
      <c r="QEP37" s="299"/>
      <c r="QEQ37" s="299"/>
      <c r="QER37" s="299"/>
      <c r="QES37" s="299"/>
      <c r="QET37" s="299"/>
      <c r="QEU37" s="299"/>
      <c r="QEV37" s="299"/>
      <c r="QEW37" s="299"/>
      <c r="QEX37" s="299"/>
      <c r="QEY37" s="299"/>
      <c r="QEZ37" s="299"/>
      <c r="QFA37" s="299"/>
      <c r="QFB37" s="299"/>
      <c r="QFC37" s="299"/>
      <c r="QFD37" s="299"/>
      <c r="QFE37" s="299"/>
      <c r="QFF37" s="299"/>
      <c r="QFG37" s="299"/>
      <c r="QFH37" s="299"/>
      <c r="QFI37" s="299"/>
      <c r="QFJ37" s="299"/>
      <c r="QFK37" s="299"/>
      <c r="QFL37" s="299"/>
      <c r="QFM37" s="299"/>
      <c r="QFN37" s="299"/>
      <c r="QFO37" s="299"/>
      <c r="QFP37" s="299"/>
      <c r="QFQ37" s="299"/>
      <c r="QFR37" s="299"/>
      <c r="QFS37" s="299"/>
      <c r="QFT37" s="299"/>
      <c r="QFU37" s="299"/>
      <c r="QFV37" s="299"/>
      <c r="QFW37" s="299"/>
      <c r="QFX37" s="299"/>
      <c r="QFY37" s="299"/>
      <c r="QFZ37" s="299"/>
      <c r="QGA37" s="299"/>
      <c r="QGB37" s="299"/>
      <c r="QGC37" s="299"/>
      <c r="QGD37" s="299"/>
      <c r="QGE37" s="299"/>
      <c r="QGF37" s="299"/>
      <c r="QGG37" s="299"/>
      <c r="QGH37" s="299"/>
      <c r="QGI37" s="299"/>
      <c r="QGJ37" s="299"/>
      <c r="QGK37" s="299"/>
      <c r="QGL37" s="299"/>
      <c r="QGM37" s="299"/>
      <c r="QGN37" s="299"/>
      <c r="QGO37" s="299"/>
      <c r="QGP37" s="299"/>
      <c r="QGQ37" s="299"/>
      <c r="QGR37" s="299"/>
      <c r="QGS37" s="299"/>
      <c r="QGT37" s="299"/>
      <c r="QGU37" s="299"/>
      <c r="QGV37" s="299"/>
      <c r="QGW37" s="299"/>
      <c r="QGX37" s="299"/>
      <c r="QGY37" s="299"/>
      <c r="QGZ37" s="299"/>
      <c r="QHA37" s="299"/>
      <c r="QHB37" s="299"/>
      <c r="QHC37" s="299"/>
      <c r="QHD37" s="299"/>
      <c r="QHE37" s="299"/>
      <c r="QHF37" s="299"/>
      <c r="QHG37" s="299"/>
      <c r="QHH37" s="299"/>
      <c r="QHI37" s="299"/>
      <c r="QHJ37" s="299"/>
      <c r="QHK37" s="299"/>
      <c r="QHL37" s="299"/>
      <c r="QHM37" s="299"/>
      <c r="QHN37" s="299"/>
      <c r="QHO37" s="299"/>
      <c r="QHP37" s="299"/>
      <c r="QHQ37" s="299"/>
      <c r="QHR37" s="299"/>
      <c r="QHS37" s="299"/>
      <c r="QHT37" s="299"/>
      <c r="QHU37" s="299"/>
      <c r="QHV37" s="299"/>
      <c r="QHW37" s="299"/>
      <c r="QHX37" s="299"/>
      <c r="QHY37" s="299"/>
      <c r="QHZ37" s="299"/>
      <c r="QIA37" s="299"/>
      <c r="QIB37" s="299"/>
      <c r="QIC37" s="299"/>
      <c r="QID37" s="299"/>
      <c r="QIE37" s="299"/>
      <c r="QIF37" s="299"/>
      <c r="QIG37" s="299"/>
      <c r="QIH37" s="299"/>
      <c r="QII37" s="299"/>
      <c r="QIJ37" s="299"/>
      <c r="QIK37" s="299"/>
      <c r="QIL37" s="299"/>
      <c r="QIM37" s="299"/>
      <c r="QIN37" s="299"/>
      <c r="QIO37" s="299"/>
      <c r="QIP37" s="299"/>
      <c r="QIQ37" s="299"/>
      <c r="QIR37" s="299"/>
      <c r="QIS37" s="299"/>
      <c r="QIT37" s="299"/>
      <c r="QIU37" s="299"/>
      <c r="QIV37" s="299"/>
      <c r="QIW37" s="299"/>
      <c r="QIX37" s="299"/>
      <c r="QIY37" s="299"/>
      <c r="QIZ37" s="299"/>
      <c r="QJA37" s="299"/>
      <c r="QJB37" s="299"/>
      <c r="QJC37" s="299"/>
      <c r="QJD37" s="299"/>
      <c r="QJE37" s="299"/>
      <c r="QJF37" s="299"/>
      <c r="QJG37" s="299"/>
      <c r="QJH37" s="299"/>
      <c r="QJI37" s="299"/>
      <c r="QJJ37" s="299"/>
      <c r="QJK37" s="299"/>
      <c r="QJL37" s="299"/>
      <c r="QJM37" s="299"/>
      <c r="QJN37" s="299"/>
      <c r="QJO37" s="299"/>
      <c r="QJP37" s="299"/>
      <c r="QJQ37" s="299"/>
      <c r="QJR37" s="299"/>
      <c r="QJS37" s="299"/>
      <c r="QJT37" s="299"/>
      <c r="QJU37" s="299"/>
      <c r="QJV37" s="299"/>
      <c r="QJW37" s="299"/>
      <c r="QJX37" s="299"/>
      <c r="QJY37" s="299"/>
      <c r="QJZ37" s="299"/>
      <c r="QKA37" s="299"/>
      <c r="QKB37" s="299"/>
      <c r="QKC37" s="299"/>
      <c r="QKD37" s="299"/>
      <c r="QKE37" s="299"/>
      <c r="QKF37" s="299"/>
      <c r="QKG37" s="299"/>
      <c r="QKH37" s="299"/>
      <c r="QKI37" s="299"/>
      <c r="QKJ37" s="299"/>
      <c r="QKK37" s="299"/>
      <c r="QKL37" s="299"/>
      <c r="QKM37" s="299"/>
      <c r="QKN37" s="299"/>
      <c r="QKO37" s="299"/>
      <c r="QKP37" s="299"/>
      <c r="QKQ37" s="299"/>
      <c r="QKR37" s="299"/>
      <c r="QKS37" s="299"/>
      <c r="QKT37" s="299"/>
      <c r="QKU37" s="299"/>
      <c r="QKV37" s="299"/>
      <c r="QKW37" s="299"/>
      <c r="QKX37" s="299"/>
      <c r="QKY37" s="299"/>
      <c r="QKZ37" s="299"/>
      <c r="QLA37" s="299"/>
      <c r="QLB37" s="299"/>
      <c r="QLC37" s="299"/>
      <c r="QLD37" s="299"/>
      <c r="QLE37" s="299"/>
      <c r="QLF37" s="299"/>
      <c r="QLG37" s="299"/>
      <c r="QLH37" s="299"/>
      <c r="QLI37" s="299"/>
      <c r="QLJ37" s="299"/>
      <c r="QLK37" s="299"/>
      <c r="QLL37" s="299"/>
      <c r="QLM37" s="299"/>
      <c r="QLN37" s="299"/>
      <c r="QLO37" s="299"/>
      <c r="QLP37" s="299"/>
      <c r="QLQ37" s="299"/>
      <c r="QLR37" s="299"/>
      <c r="QLS37" s="299"/>
      <c r="QLT37" s="299"/>
      <c r="QLU37" s="299"/>
      <c r="QLV37" s="299"/>
      <c r="QLW37" s="299"/>
      <c r="QLX37" s="299"/>
      <c r="QLY37" s="299"/>
      <c r="QLZ37" s="299"/>
      <c r="QMA37" s="299"/>
      <c r="QMB37" s="299"/>
      <c r="QMC37" s="299"/>
      <c r="QMD37" s="299"/>
      <c r="QME37" s="299"/>
      <c r="QMF37" s="299"/>
      <c r="QMG37" s="299"/>
      <c r="QMH37" s="299"/>
      <c r="QMI37" s="299"/>
      <c r="QMJ37" s="299"/>
      <c r="QMK37" s="299"/>
      <c r="QML37" s="299"/>
      <c r="QMM37" s="299"/>
      <c r="QMN37" s="299"/>
      <c r="QMO37" s="299"/>
      <c r="QMP37" s="299"/>
      <c r="QMQ37" s="299"/>
      <c r="QMR37" s="299"/>
      <c r="QMS37" s="299"/>
      <c r="QMT37" s="299"/>
      <c r="QMU37" s="299"/>
      <c r="QMV37" s="299"/>
      <c r="QMW37" s="299"/>
      <c r="QMX37" s="299"/>
      <c r="QMY37" s="299"/>
      <c r="QMZ37" s="299"/>
      <c r="QNA37" s="299"/>
      <c r="QNB37" s="299"/>
      <c r="QNC37" s="299"/>
      <c r="QND37" s="299"/>
      <c r="QNE37" s="299"/>
      <c r="QNF37" s="299"/>
      <c r="QNG37" s="299"/>
      <c r="QNH37" s="299"/>
      <c r="QNI37" s="299"/>
      <c r="QNJ37" s="299"/>
      <c r="QNK37" s="299"/>
      <c r="QNL37" s="299"/>
      <c r="QNM37" s="299"/>
      <c r="QNN37" s="299"/>
      <c r="QNO37" s="299"/>
      <c r="QNP37" s="299"/>
      <c r="QNQ37" s="299"/>
      <c r="QNR37" s="299"/>
      <c r="QNS37" s="299"/>
      <c r="QNT37" s="299"/>
      <c r="QNU37" s="299"/>
      <c r="QNV37" s="299"/>
      <c r="QNW37" s="299"/>
      <c r="QNX37" s="299"/>
      <c r="QNY37" s="299"/>
      <c r="QNZ37" s="299"/>
      <c r="QOA37" s="299"/>
      <c r="QOB37" s="299"/>
      <c r="QOC37" s="299"/>
      <c r="QOD37" s="299"/>
      <c r="QOE37" s="299"/>
      <c r="QOF37" s="299"/>
      <c r="QOG37" s="299"/>
      <c r="QOH37" s="299"/>
      <c r="QOI37" s="299"/>
      <c r="QOJ37" s="299"/>
      <c r="QOK37" s="299"/>
      <c r="QOL37" s="299"/>
      <c r="QOM37" s="299"/>
      <c r="QON37" s="299"/>
      <c r="QOO37" s="299"/>
      <c r="QOP37" s="299"/>
      <c r="QOQ37" s="299"/>
      <c r="QOR37" s="299"/>
      <c r="QOS37" s="299"/>
      <c r="QOT37" s="299"/>
      <c r="QOU37" s="299"/>
      <c r="QOV37" s="299"/>
      <c r="QOW37" s="299"/>
      <c r="QOX37" s="299"/>
      <c r="QOY37" s="299"/>
      <c r="QOZ37" s="299"/>
      <c r="QPA37" s="299"/>
      <c r="QPB37" s="299"/>
      <c r="QPC37" s="299"/>
      <c r="QPD37" s="299"/>
      <c r="QPE37" s="299"/>
      <c r="QPF37" s="299"/>
      <c r="QPG37" s="299"/>
      <c r="QPH37" s="299"/>
      <c r="QPI37" s="299"/>
      <c r="QPJ37" s="299"/>
      <c r="QPK37" s="299"/>
      <c r="QPL37" s="299"/>
      <c r="QPM37" s="299"/>
      <c r="QPN37" s="299"/>
      <c r="QPO37" s="299"/>
      <c r="QPP37" s="299"/>
      <c r="QPQ37" s="299"/>
      <c r="QPR37" s="299"/>
      <c r="QPS37" s="299"/>
      <c r="QPT37" s="299"/>
      <c r="QPU37" s="299"/>
      <c r="QPV37" s="299"/>
      <c r="QPW37" s="299"/>
      <c r="QPX37" s="299"/>
      <c r="QPY37" s="299"/>
      <c r="QPZ37" s="299"/>
      <c r="QQA37" s="299"/>
      <c r="QQB37" s="299"/>
      <c r="QQC37" s="299"/>
      <c r="QQD37" s="299"/>
      <c r="QQE37" s="299"/>
      <c r="QQF37" s="299"/>
      <c r="QQG37" s="299"/>
      <c r="QQH37" s="299"/>
      <c r="QQI37" s="299"/>
      <c r="QQJ37" s="299"/>
      <c r="QQK37" s="299"/>
      <c r="QQL37" s="299"/>
      <c r="QQM37" s="299"/>
      <c r="QQN37" s="299"/>
      <c r="QQO37" s="299"/>
      <c r="QQP37" s="299"/>
      <c r="QQQ37" s="299"/>
      <c r="QQR37" s="299"/>
      <c r="QQS37" s="299"/>
      <c r="QQT37" s="299"/>
      <c r="QQU37" s="299"/>
      <c r="QQV37" s="299"/>
      <c r="QQW37" s="299"/>
      <c r="QQX37" s="299"/>
      <c r="QQY37" s="299"/>
      <c r="QQZ37" s="299"/>
      <c r="QRA37" s="299"/>
      <c r="QRB37" s="299"/>
      <c r="QRC37" s="299"/>
      <c r="QRD37" s="299"/>
      <c r="QRE37" s="299"/>
      <c r="QRF37" s="299"/>
      <c r="QRG37" s="299"/>
      <c r="QRH37" s="299"/>
      <c r="QRI37" s="299"/>
      <c r="QRJ37" s="299"/>
      <c r="QRK37" s="299"/>
      <c r="QRL37" s="299"/>
      <c r="QRM37" s="299"/>
      <c r="QRN37" s="299"/>
      <c r="QRO37" s="299"/>
      <c r="QRP37" s="299"/>
      <c r="QRQ37" s="299"/>
      <c r="QRR37" s="299"/>
      <c r="QRS37" s="299"/>
      <c r="QRT37" s="299"/>
      <c r="QRU37" s="299"/>
      <c r="QRV37" s="299"/>
      <c r="QRW37" s="299"/>
      <c r="QRX37" s="299"/>
      <c r="QRY37" s="299"/>
      <c r="QRZ37" s="299"/>
      <c r="QSA37" s="299"/>
      <c r="QSB37" s="299"/>
      <c r="QSC37" s="299"/>
      <c r="QSD37" s="299"/>
      <c r="QSE37" s="299"/>
      <c r="QSF37" s="299"/>
      <c r="QSG37" s="299"/>
      <c r="QSH37" s="299"/>
      <c r="QSI37" s="299"/>
      <c r="QSJ37" s="299"/>
      <c r="QSK37" s="299"/>
      <c r="QSL37" s="299"/>
      <c r="QSM37" s="299"/>
      <c r="QSN37" s="299"/>
      <c r="QSO37" s="299"/>
      <c r="QSP37" s="299"/>
      <c r="QSQ37" s="299"/>
      <c r="QSR37" s="299"/>
      <c r="QSS37" s="299"/>
      <c r="QST37" s="299"/>
      <c r="QSU37" s="299"/>
      <c r="QSV37" s="299"/>
      <c r="QSW37" s="299"/>
      <c r="QSX37" s="299"/>
      <c r="QSY37" s="299"/>
      <c r="QSZ37" s="299"/>
      <c r="QTA37" s="299"/>
      <c r="QTB37" s="299"/>
      <c r="QTC37" s="299"/>
      <c r="QTD37" s="299"/>
      <c r="QTE37" s="299"/>
      <c r="QTF37" s="299"/>
      <c r="QTG37" s="299"/>
      <c r="QTH37" s="299"/>
      <c r="QTI37" s="299"/>
      <c r="QTJ37" s="299"/>
      <c r="QTK37" s="299"/>
      <c r="QTL37" s="299"/>
      <c r="QTM37" s="299"/>
      <c r="QTN37" s="299"/>
      <c r="QTO37" s="299"/>
      <c r="QTP37" s="299"/>
      <c r="QTQ37" s="299"/>
      <c r="QTR37" s="299"/>
      <c r="QTS37" s="299"/>
      <c r="QTT37" s="299"/>
      <c r="QTU37" s="299"/>
      <c r="QTV37" s="299"/>
      <c r="QTW37" s="299"/>
      <c r="QTX37" s="299"/>
      <c r="QTY37" s="299"/>
      <c r="QTZ37" s="299"/>
      <c r="QUA37" s="299"/>
      <c r="QUB37" s="299"/>
      <c r="QUC37" s="299"/>
      <c r="QUD37" s="299"/>
      <c r="QUE37" s="299"/>
      <c r="QUF37" s="299"/>
      <c r="QUG37" s="299"/>
      <c r="QUH37" s="299"/>
      <c r="QUI37" s="299"/>
      <c r="QUJ37" s="299"/>
      <c r="QUK37" s="299"/>
      <c r="QUL37" s="299"/>
      <c r="QUM37" s="299"/>
      <c r="QUN37" s="299"/>
      <c r="QUO37" s="299"/>
      <c r="QUP37" s="299"/>
      <c r="QUQ37" s="299"/>
      <c r="QUR37" s="299"/>
      <c r="QUS37" s="299"/>
      <c r="QUT37" s="299"/>
      <c r="QUU37" s="299"/>
      <c r="QUV37" s="299"/>
      <c r="QUW37" s="299"/>
      <c r="QUX37" s="299"/>
      <c r="QUY37" s="299"/>
      <c r="QUZ37" s="299"/>
      <c r="QVA37" s="299"/>
      <c r="QVB37" s="299"/>
      <c r="QVC37" s="299"/>
      <c r="QVD37" s="299"/>
      <c r="QVE37" s="299"/>
      <c r="QVF37" s="299"/>
      <c r="QVG37" s="299"/>
      <c r="QVH37" s="299"/>
      <c r="QVI37" s="299"/>
      <c r="QVJ37" s="299"/>
      <c r="QVK37" s="299"/>
      <c r="QVL37" s="299"/>
      <c r="QVM37" s="299"/>
      <c r="QVN37" s="299"/>
      <c r="QVO37" s="299"/>
      <c r="QVP37" s="299"/>
      <c r="QVQ37" s="299"/>
      <c r="QVR37" s="299"/>
      <c r="QVS37" s="299"/>
      <c r="QVT37" s="299"/>
      <c r="QVU37" s="299"/>
      <c r="QVV37" s="299"/>
      <c r="QVW37" s="299"/>
      <c r="QVX37" s="299"/>
      <c r="QVY37" s="299"/>
      <c r="QVZ37" s="299"/>
      <c r="QWA37" s="299"/>
      <c r="QWB37" s="299"/>
      <c r="QWC37" s="299"/>
      <c r="QWD37" s="299"/>
      <c r="QWE37" s="299"/>
      <c r="QWF37" s="299"/>
      <c r="QWG37" s="299"/>
      <c r="QWH37" s="299"/>
      <c r="QWI37" s="299"/>
      <c r="QWJ37" s="299"/>
      <c r="QWK37" s="299"/>
      <c r="QWL37" s="299"/>
      <c r="QWM37" s="299"/>
      <c r="QWN37" s="299"/>
      <c r="QWO37" s="299"/>
      <c r="QWP37" s="299"/>
      <c r="QWQ37" s="299"/>
      <c r="QWR37" s="299"/>
      <c r="QWS37" s="299"/>
      <c r="QWT37" s="299"/>
      <c r="QWU37" s="299"/>
      <c r="QWV37" s="299"/>
      <c r="QWW37" s="299"/>
      <c r="QWX37" s="299"/>
      <c r="QWY37" s="299"/>
      <c r="QWZ37" s="299"/>
      <c r="QXA37" s="299"/>
      <c r="QXB37" s="299"/>
      <c r="QXC37" s="299"/>
      <c r="QXD37" s="299"/>
      <c r="QXE37" s="299"/>
      <c r="QXF37" s="299"/>
      <c r="QXG37" s="299"/>
      <c r="QXH37" s="299"/>
      <c r="QXI37" s="299"/>
      <c r="QXJ37" s="299"/>
      <c r="QXK37" s="299"/>
      <c r="QXL37" s="299"/>
      <c r="QXM37" s="299"/>
      <c r="QXN37" s="299"/>
      <c r="QXO37" s="299"/>
      <c r="QXP37" s="299"/>
      <c r="QXQ37" s="299"/>
      <c r="QXR37" s="299"/>
      <c r="QXS37" s="299"/>
      <c r="QXT37" s="299"/>
      <c r="QXU37" s="299"/>
      <c r="QXV37" s="299"/>
      <c r="QXW37" s="299"/>
      <c r="QXX37" s="299"/>
      <c r="QXY37" s="299"/>
      <c r="QXZ37" s="299"/>
      <c r="QYA37" s="299"/>
      <c r="QYB37" s="299"/>
      <c r="QYC37" s="299"/>
      <c r="QYD37" s="299"/>
      <c r="QYE37" s="299"/>
      <c r="QYF37" s="299"/>
      <c r="QYG37" s="299"/>
      <c r="QYH37" s="299"/>
      <c r="QYI37" s="299"/>
      <c r="QYJ37" s="299"/>
      <c r="QYK37" s="299"/>
      <c r="QYL37" s="299"/>
      <c r="QYM37" s="299"/>
      <c r="QYN37" s="299"/>
      <c r="QYO37" s="299"/>
      <c r="QYP37" s="299"/>
      <c r="QYQ37" s="299"/>
      <c r="QYR37" s="299"/>
      <c r="QYS37" s="299"/>
      <c r="QYT37" s="299"/>
      <c r="QYU37" s="299"/>
      <c r="QYV37" s="299"/>
      <c r="QYW37" s="299"/>
      <c r="QYX37" s="299"/>
      <c r="QYY37" s="299"/>
      <c r="QYZ37" s="299"/>
      <c r="QZA37" s="299"/>
      <c r="QZB37" s="299"/>
      <c r="QZC37" s="299"/>
      <c r="QZD37" s="299"/>
      <c r="QZE37" s="299"/>
      <c r="QZF37" s="299"/>
      <c r="QZG37" s="299"/>
      <c r="QZH37" s="299"/>
      <c r="QZI37" s="299"/>
      <c r="QZJ37" s="299"/>
      <c r="QZK37" s="299"/>
      <c r="QZL37" s="299"/>
      <c r="QZM37" s="299"/>
      <c r="QZN37" s="299"/>
      <c r="QZO37" s="299"/>
      <c r="QZP37" s="299"/>
      <c r="QZQ37" s="299"/>
      <c r="QZR37" s="299"/>
      <c r="QZS37" s="299"/>
      <c r="QZT37" s="299"/>
      <c r="QZU37" s="299"/>
      <c r="QZV37" s="299"/>
      <c r="QZW37" s="299"/>
      <c r="QZX37" s="299"/>
      <c r="QZY37" s="299"/>
      <c r="QZZ37" s="299"/>
      <c r="RAA37" s="299"/>
      <c r="RAB37" s="299"/>
      <c r="RAC37" s="299"/>
      <c r="RAD37" s="299"/>
      <c r="RAE37" s="299"/>
      <c r="RAF37" s="299"/>
      <c r="RAG37" s="299"/>
      <c r="RAH37" s="299"/>
      <c r="RAI37" s="299"/>
      <c r="RAJ37" s="299"/>
      <c r="RAK37" s="299"/>
      <c r="RAL37" s="299"/>
      <c r="RAM37" s="299"/>
      <c r="RAN37" s="299"/>
      <c r="RAO37" s="299"/>
      <c r="RAP37" s="299"/>
      <c r="RAQ37" s="299"/>
      <c r="RAR37" s="299"/>
      <c r="RAS37" s="299"/>
      <c r="RAT37" s="299"/>
      <c r="RAU37" s="299"/>
      <c r="RAV37" s="299"/>
      <c r="RAW37" s="299"/>
      <c r="RAX37" s="299"/>
      <c r="RAY37" s="299"/>
      <c r="RAZ37" s="299"/>
      <c r="RBA37" s="299"/>
      <c r="RBB37" s="299"/>
      <c r="RBC37" s="299"/>
      <c r="RBD37" s="299"/>
      <c r="RBE37" s="299"/>
      <c r="RBF37" s="299"/>
      <c r="RBG37" s="299"/>
      <c r="RBH37" s="299"/>
      <c r="RBI37" s="299"/>
      <c r="RBJ37" s="299"/>
      <c r="RBK37" s="299"/>
      <c r="RBL37" s="299"/>
      <c r="RBM37" s="299"/>
      <c r="RBN37" s="299"/>
      <c r="RBO37" s="299"/>
      <c r="RBP37" s="299"/>
      <c r="RBQ37" s="299"/>
      <c r="RBR37" s="299"/>
      <c r="RBS37" s="299"/>
      <c r="RBT37" s="299"/>
      <c r="RBU37" s="299"/>
      <c r="RBV37" s="299"/>
      <c r="RBW37" s="299"/>
      <c r="RBX37" s="299"/>
      <c r="RBY37" s="299"/>
      <c r="RBZ37" s="299"/>
      <c r="RCA37" s="299"/>
      <c r="RCB37" s="299"/>
      <c r="RCC37" s="299"/>
      <c r="RCD37" s="299"/>
      <c r="RCE37" s="299"/>
      <c r="RCF37" s="299"/>
      <c r="RCG37" s="299"/>
      <c r="RCH37" s="299"/>
      <c r="RCI37" s="299"/>
      <c r="RCJ37" s="299"/>
      <c r="RCK37" s="299"/>
      <c r="RCL37" s="299"/>
      <c r="RCM37" s="299"/>
      <c r="RCN37" s="299"/>
      <c r="RCO37" s="299"/>
      <c r="RCP37" s="299"/>
      <c r="RCQ37" s="299"/>
      <c r="RCR37" s="299"/>
      <c r="RCS37" s="299"/>
      <c r="RCT37" s="299"/>
      <c r="RCU37" s="299"/>
      <c r="RCV37" s="299"/>
      <c r="RCW37" s="299"/>
      <c r="RCX37" s="299"/>
      <c r="RCY37" s="299"/>
      <c r="RCZ37" s="299"/>
      <c r="RDA37" s="299"/>
      <c r="RDB37" s="299"/>
      <c r="RDC37" s="299"/>
      <c r="RDD37" s="299"/>
      <c r="RDE37" s="299"/>
      <c r="RDF37" s="299"/>
      <c r="RDG37" s="299"/>
      <c r="RDH37" s="299"/>
      <c r="RDI37" s="299"/>
      <c r="RDJ37" s="299"/>
      <c r="RDK37" s="299"/>
      <c r="RDL37" s="299"/>
      <c r="RDM37" s="299"/>
      <c r="RDN37" s="299"/>
      <c r="RDO37" s="299"/>
      <c r="RDP37" s="299"/>
      <c r="RDQ37" s="299"/>
      <c r="RDR37" s="299"/>
      <c r="RDS37" s="299"/>
      <c r="RDT37" s="299"/>
      <c r="RDU37" s="299"/>
      <c r="RDV37" s="299"/>
      <c r="RDW37" s="299"/>
      <c r="RDX37" s="299"/>
      <c r="RDY37" s="299"/>
      <c r="RDZ37" s="299"/>
      <c r="REA37" s="299"/>
      <c r="REB37" s="299"/>
      <c r="REC37" s="299"/>
      <c r="RED37" s="299"/>
      <c r="REE37" s="299"/>
      <c r="REF37" s="299"/>
      <c r="REG37" s="299"/>
      <c r="REH37" s="299"/>
      <c r="REI37" s="299"/>
      <c r="REJ37" s="299"/>
      <c r="REK37" s="299"/>
      <c r="REL37" s="299"/>
      <c r="REM37" s="299"/>
      <c r="REN37" s="299"/>
      <c r="REO37" s="299"/>
      <c r="REP37" s="299"/>
      <c r="REQ37" s="299"/>
      <c r="RER37" s="299"/>
      <c r="RES37" s="299"/>
      <c r="RET37" s="299"/>
      <c r="REU37" s="299"/>
      <c r="REV37" s="299"/>
      <c r="REW37" s="299"/>
      <c r="REX37" s="299"/>
      <c r="REY37" s="299"/>
      <c r="REZ37" s="299"/>
      <c r="RFA37" s="299"/>
      <c r="RFB37" s="299"/>
      <c r="RFC37" s="299"/>
      <c r="RFD37" s="299"/>
      <c r="RFE37" s="299"/>
      <c r="RFF37" s="299"/>
      <c r="RFG37" s="299"/>
      <c r="RFH37" s="299"/>
      <c r="RFI37" s="299"/>
      <c r="RFJ37" s="299"/>
      <c r="RFK37" s="299"/>
      <c r="RFL37" s="299"/>
      <c r="RFM37" s="299"/>
      <c r="RFN37" s="299"/>
      <c r="RFO37" s="299"/>
      <c r="RFP37" s="299"/>
      <c r="RFQ37" s="299"/>
      <c r="RFR37" s="299"/>
      <c r="RFS37" s="299"/>
      <c r="RFT37" s="299"/>
      <c r="RFU37" s="299"/>
      <c r="RFV37" s="299"/>
      <c r="RFW37" s="299"/>
      <c r="RFX37" s="299"/>
      <c r="RFY37" s="299"/>
      <c r="RFZ37" s="299"/>
      <c r="RGA37" s="299"/>
      <c r="RGB37" s="299"/>
      <c r="RGC37" s="299"/>
      <c r="RGD37" s="299"/>
      <c r="RGE37" s="299"/>
      <c r="RGF37" s="299"/>
      <c r="RGG37" s="299"/>
      <c r="RGH37" s="299"/>
      <c r="RGI37" s="299"/>
      <c r="RGJ37" s="299"/>
      <c r="RGK37" s="299"/>
      <c r="RGL37" s="299"/>
      <c r="RGM37" s="299"/>
      <c r="RGN37" s="299"/>
      <c r="RGO37" s="299"/>
      <c r="RGP37" s="299"/>
      <c r="RGQ37" s="299"/>
      <c r="RGR37" s="299"/>
      <c r="RGS37" s="299"/>
      <c r="RGT37" s="299"/>
      <c r="RGU37" s="299"/>
      <c r="RGV37" s="299"/>
      <c r="RGW37" s="299"/>
      <c r="RGX37" s="299"/>
      <c r="RGY37" s="299"/>
      <c r="RGZ37" s="299"/>
      <c r="RHA37" s="299"/>
      <c r="RHB37" s="299"/>
      <c r="RHC37" s="299"/>
      <c r="RHD37" s="299"/>
      <c r="RHE37" s="299"/>
      <c r="RHF37" s="299"/>
      <c r="RHG37" s="299"/>
      <c r="RHH37" s="299"/>
      <c r="RHI37" s="299"/>
      <c r="RHJ37" s="299"/>
      <c r="RHK37" s="299"/>
      <c r="RHL37" s="299"/>
      <c r="RHM37" s="299"/>
      <c r="RHN37" s="299"/>
      <c r="RHO37" s="299"/>
      <c r="RHP37" s="299"/>
      <c r="RHQ37" s="299"/>
      <c r="RHR37" s="299"/>
      <c r="RHS37" s="299"/>
      <c r="RHT37" s="299"/>
      <c r="RHU37" s="299"/>
      <c r="RHV37" s="299"/>
      <c r="RHW37" s="299"/>
      <c r="RHX37" s="299"/>
      <c r="RHY37" s="299"/>
      <c r="RHZ37" s="299"/>
      <c r="RIA37" s="299"/>
      <c r="RIB37" s="299"/>
      <c r="RIC37" s="299"/>
      <c r="RID37" s="299"/>
      <c r="RIE37" s="299"/>
      <c r="RIF37" s="299"/>
      <c r="RIG37" s="299"/>
      <c r="RIH37" s="299"/>
      <c r="RII37" s="299"/>
      <c r="RIJ37" s="299"/>
      <c r="RIK37" s="299"/>
      <c r="RIL37" s="299"/>
      <c r="RIM37" s="299"/>
      <c r="RIN37" s="299"/>
      <c r="RIO37" s="299"/>
      <c r="RIP37" s="299"/>
      <c r="RIQ37" s="299"/>
      <c r="RIR37" s="299"/>
      <c r="RIS37" s="299"/>
      <c r="RIT37" s="299"/>
      <c r="RIU37" s="299"/>
      <c r="RIV37" s="299"/>
      <c r="RIW37" s="299"/>
      <c r="RIX37" s="299"/>
      <c r="RIY37" s="299"/>
      <c r="RIZ37" s="299"/>
      <c r="RJA37" s="299"/>
      <c r="RJB37" s="299"/>
      <c r="RJC37" s="299"/>
      <c r="RJD37" s="299"/>
      <c r="RJE37" s="299"/>
      <c r="RJF37" s="299"/>
      <c r="RJG37" s="299"/>
      <c r="RJH37" s="299"/>
      <c r="RJI37" s="299"/>
      <c r="RJJ37" s="299"/>
      <c r="RJK37" s="299"/>
      <c r="RJL37" s="299"/>
      <c r="RJM37" s="299"/>
      <c r="RJN37" s="299"/>
      <c r="RJO37" s="299"/>
      <c r="RJP37" s="299"/>
      <c r="RJQ37" s="299"/>
      <c r="RJR37" s="299"/>
      <c r="RJS37" s="299"/>
      <c r="RJT37" s="299"/>
      <c r="RJU37" s="299"/>
      <c r="RJV37" s="299"/>
      <c r="RJW37" s="299"/>
      <c r="RJX37" s="299"/>
      <c r="RJY37" s="299"/>
      <c r="RJZ37" s="299"/>
      <c r="RKA37" s="299"/>
      <c r="RKB37" s="299"/>
      <c r="RKC37" s="299"/>
      <c r="RKD37" s="299"/>
      <c r="RKE37" s="299"/>
      <c r="RKF37" s="299"/>
      <c r="RKG37" s="299"/>
      <c r="RKH37" s="299"/>
      <c r="RKI37" s="299"/>
      <c r="RKJ37" s="299"/>
      <c r="RKK37" s="299"/>
      <c r="RKL37" s="299"/>
      <c r="RKM37" s="299"/>
      <c r="RKN37" s="299"/>
      <c r="RKO37" s="299"/>
      <c r="RKP37" s="299"/>
      <c r="RKQ37" s="299"/>
      <c r="RKR37" s="299"/>
      <c r="RKS37" s="299"/>
      <c r="RKT37" s="299"/>
      <c r="RKU37" s="299"/>
      <c r="RKV37" s="299"/>
      <c r="RKW37" s="299"/>
      <c r="RKX37" s="299"/>
      <c r="RKY37" s="299"/>
      <c r="RKZ37" s="299"/>
      <c r="RLA37" s="299"/>
      <c r="RLB37" s="299"/>
      <c r="RLC37" s="299"/>
      <c r="RLD37" s="299"/>
      <c r="RLE37" s="299"/>
      <c r="RLF37" s="299"/>
      <c r="RLG37" s="299"/>
      <c r="RLH37" s="299"/>
      <c r="RLI37" s="299"/>
      <c r="RLJ37" s="299"/>
      <c r="RLK37" s="299"/>
      <c r="RLL37" s="299"/>
      <c r="RLM37" s="299"/>
      <c r="RLN37" s="299"/>
      <c r="RLO37" s="299"/>
      <c r="RLP37" s="299"/>
      <c r="RLQ37" s="299"/>
      <c r="RLR37" s="299"/>
      <c r="RLS37" s="299"/>
      <c r="RLT37" s="299"/>
      <c r="RLU37" s="299"/>
      <c r="RLV37" s="299"/>
      <c r="RLW37" s="299"/>
      <c r="RLX37" s="299"/>
      <c r="RLY37" s="299"/>
      <c r="RLZ37" s="299"/>
      <c r="RMA37" s="299"/>
      <c r="RMB37" s="299"/>
      <c r="RMC37" s="299"/>
      <c r="RMD37" s="299"/>
      <c r="RME37" s="299"/>
      <c r="RMF37" s="299"/>
      <c r="RMG37" s="299"/>
      <c r="RMH37" s="299"/>
      <c r="RMI37" s="299"/>
      <c r="RMJ37" s="299"/>
      <c r="RMK37" s="299"/>
      <c r="RML37" s="299"/>
      <c r="RMM37" s="299"/>
      <c r="RMN37" s="299"/>
      <c r="RMO37" s="299"/>
      <c r="RMP37" s="299"/>
      <c r="RMQ37" s="299"/>
      <c r="RMR37" s="299"/>
      <c r="RMS37" s="299"/>
      <c r="RMT37" s="299"/>
      <c r="RMU37" s="299"/>
      <c r="RMV37" s="299"/>
      <c r="RMW37" s="299"/>
      <c r="RMX37" s="299"/>
      <c r="RMY37" s="299"/>
      <c r="RMZ37" s="299"/>
      <c r="RNA37" s="299"/>
      <c r="RNB37" s="299"/>
      <c r="RNC37" s="299"/>
      <c r="RND37" s="299"/>
      <c r="RNE37" s="299"/>
      <c r="RNF37" s="299"/>
      <c r="RNG37" s="299"/>
      <c r="RNH37" s="299"/>
      <c r="RNI37" s="299"/>
      <c r="RNJ37" s="299"/>
      <c r="RNK37" s="299"/>
      <c r="RNL37" s="299"/>
      <c r="RNM37" s="299"/>
      <c r="RNN37" s="299"/>
      <c r="RNO37" s="299"/>
      <c r="RNP37" s="299"/>
      <c r="RNQ37" s="299"/>
      <c r="RNR37" s="299"/>
      <c r="RNS37" s="299"/>
      <c r="RNT37" s="299"/>
      <c r="RNU37" s="299"/>
      <c r="RNV37" s="299"/>
      <c r="RNW37" s="299"/>
      <c r="RNX37" s="299"/>
      <c r="RNY37" s="299"/>
      <c r="RNZ37" s="299"/>
      <c r="ROA37" s="299"/>
      <c r="ROB37" s="299"/>
      <c r="ROC37" s="299"/>
      <c r="ROD37" s="299"/>
      <c r="ROE37" s="299"/>
      <c r="ROF37" s="299"/>
      <c r="ROG37" s="299"/>
      <c r="ROH37" s="299"/>
      <c r="ROI37" s="299"/>
      <c r="ROJ37" s="299"/>
      <c r="ROK37" s="299"/>
      <c r="ROL37" s="299"/>
      <c r="ROM37" s="299"/>
      <c r="RON37" s="299"/>
      <c r="ROO37" s="299"/>
      <c r="ROP37" s="299"/>
      <c r="ROQ37" s="299"/>
      <c r="ROR37" s="299"/>
      <c r="ROS37" s="299"/>
      <c r="ROT37" s="299"/>
      <c r="ROU37" s="299"/>
      <c r="ROV37" s="299"/>
      <c r="ROW37" s="299"/>
      <c r="ROX37" s="299"/>
      <c r="ROY37" s="299"/>
      <c r="ROZ37" s="299"/>
      <c r="RPA37" s="299"/>
      <c r="RPB37" s="299"/>
      <c r="RPC37" s="299"/>
      <c r="RPD37" s="299"/>
      <c r="RPE37" s="299"/>
      <c r="RPF37" s="299"/>
      <c r="RPG37" s="299"/>
      <c r="RPH37" s="299"/>
      <c r="RPI37" s="299"/>
      <c r="RPJ37" s="299"/>
      <c r="RPK37" s="299"/>
      <c r="RPL37" s="299"/>
      <c r="RPM37" s="299"/>
      <c r="RPN37" s="299"/>
      <c r="RPO37" s="299"/>
      <c r="RPP37" s="299"/>
      <c r="RPQ37" s="299"/>
      <c r="RPR37" s="299"/>
      <c r="RPS37" s="299"/>
      <c r="RPT37" s="299"/>
      <c r="RPU37" s="299"/>
      <c r="RPV37" s="299"/>
      <c r="RPW37" s="299"/>
      <c r="RPX37" s="299"/>
      <c r="RPY37" s="299"/>
      <c r="RPZ37" s="299"/>
      <c r="RQA37" s="299"/>
      <c r="RQB37" s="299"/>
      <c r="RQC37" s="299"/>
      <c r="RQD37" s="299"/>
      <c r="RQE37" s="299"/>
      <c r="RQF37" s="299"/>
      <c r="RQG37" s="299"/>
      <c r="RQH37" s="299"/>
      <c r="RQI37" s="299"/>
      <c r="RQJ37" s="299"/>
      <c r="RQK37" s="299"/>
      <c r="RQL37" s="299"/>
      <c r="RQM37" s="299"/>
      <c r="RQN37" s="299"/>
      <c r="RQO37" s="299"/>
      <c r="RQP37" s="299"/>
      <c r="RQQ37" s="299"/>
      <c r="RQR37" s="299"/>
      <c r="RQS37" s="299"/>
      <c r="RQT37" s="299"/>
      <c r="RQU37" s="299"/>
      <c r="RQV37" s="299"/>
      <c r="RQW37" s="299"/>
      <c r="RQX37" s="299"/>
      <c r="RQY37" s="299"/>
      <c r="RQZ37" s="299"/>
      <c r="RRA37" s="299"/>
      <c r="RRB37" s="299"/>
      <c r="RRC37" s="299"/>
      <c r="RRD37" s="299"/>
      <c r="RRE37" s="299"/>
      <c r="RRF37" s="299"/>
      <c r="RRG37" s="299"/>
      <c r="RRH37" s="299"/>
      <c r="RRI37" s="299"/>
      <c r="RRJ37" s="299"/>
      <c r="RRK37" s="299"/>
      <c r="RRL37" s="299"/>
      <c r="RRM37" s="299"/>
      <c r="RRN37" s="299"/>
      <c r="RRO37" s="299"/>
      <c r="RRP37" s="299"/>
      <c r="RRQ37" s="299"/>
      <c r="RRR37" s="299"/>
      <c r="RRS37" s="299"/>
      <c r="RRT37" s="299"/>
      <c r="RRU37" s="299"/>
      <c r="RRV37" s="299"/>
      <c r="RRW37" s="299"/>
      <c r="RRX37" s="299"/>
      <c r="RRY37" s="299"/>
      <c r="RRZ37" s="299"/>
      <c r="RSA37" s="299"/>
      <c r="RSB37" s="299"/>
      <c r="RSC37" s="299"/>
      <c r="RSD37" s="299"/>
      <c r="RSE37" s="299"/>
      <c r="RSF37" s="299"/>
      <c r="RSG37" s="299"/>
      <c r="RSH37" s="299"/>
      <c r="RSI37" s="299"/>
      <c r="RSJ37" s="299"/>
      <c r="RSK37" s="299"/>
      <c r="RSL37" s="299"/>
      <c r="RSM37" s="299"/>
      <c r="RSN37" s="299"/>
      <c r="RSO37" s="299"/>
      <c r="RSP37" s="299"/>
      <c r="RSQ37" s="299"/>
      <c r="RSR37" s="299"/>
      <c r="RSS37" s="299"/>
      <c r="RST37" s="299"/>
      <c r="RSU37" s="299"/>
      <c r="RSV37" s="299"/>
      <c r="RSW37" s="299"/>
      <c r="RSX37" s="299"/>
      <c r="RSY37" s="299"/>
      <c r="RSZ37" s="299"/>
      <c r="RTA37" s="299"/>
      <c r="RTB37" s="299"/>
      <c r="RTC37" s="299"/>
      <c r="RTD37" s="299"/>
      <c r="RTE37" s="299"/>
      <c r="RTF37" s="299"/>
      <c r="RTG37" s="299"/>
      <c r="RTH37" s="299"/>
      <c r="RTI37" s="299"/>
      <c r="RTJ37" s="299"/>
      <c r="RTK37" s="299"/>
      <c r="RTL37" s="299"/>
      <c r="RTM37" s="299"/>
      <c r="RTN37" s="299"/>
      <c r="RTO37" s="299"/>
      <c r="RTP37" s="299"/>
      <c r="RTQ37" s="299"/>
      <c r="RTR37" s="299"/>
      <c r="RTS37" s="299"/>
      <c r="RTT37" s="299"/>
      <c r="RTU37" s="299"/>
      <c r="RTV37" s="299"/>
      <c r="RTW37" s="299"/>
      <c r="RTX37" s="299"/>
      <c r="RTY37" s="299"/>
      <c r="RTZ37" s="299"/>
      <c r="RUA37" s="299"/>
      <c r="RUB37" s="299"/>
      <c r="RUC37" s="299"/>
      <c r="RUD37" s="299"/>
      <c r="RUE37" s="299"/>
      <c r="RUF37" s="299"/>
      <c r="RUG37" s="299"/>
      <c r="RUH37" s="299"/>
      <c r="RUI37" s="299"/>
      <c r="RUJ37" s="299"/>
      <c r="RUK37" s="299"/>
      <c r="RUL37" s="299"/>
      <c r="RUM37" s="299"/>
      <c r="RUN37" s="299"/>
      <c r="RUO37" s="299"/>
      <c r="RUP37" s="299"/>
      <c r="RUQ37" s="299"/>
      <c r="RUR37" s="299"/>
      <c r="RUS37" s="299"/>
      <c r="RUT37" s="299"/>
      <c r="RUU37" s="299"/>
      <c r="RUV37" s="299"/>
      <c r="RUW37" s="299"/>
      <c r="RUX37" s="299"/>
      <c r="RUY37" s="299"/>
      <c r="RUZ37" s="299"/>
      <c r="RVA37" s="299"/>
      <c r="RVB37" s="299"/>
      <c r="RVC37" s="299"/>
      <c r="RVD37" s="299"/>
      <c r="RVE37" s="299"/>
      <c r="RVF37" s="299"/>
      <c r="RVG37" s="299"/>
      <c r="RVH37" s="299"/>
      <c r="RVI37" s="299"/>
      <c r="RVJ37" s="299"/>
      <c r="RVK37" s="299"/>
      <c r="RVL37" s="299"/>
      <c r="RVM37" s="299"/>
      <c r="RVN37" s="299"/>
      <c r="RVO37" s="299"/>
      <c r="RVP37" s="299"/>
      <c r="RVQ37" s="299"/>
      <c r="RVR37" s="299"/>
      <c r="RVS37" s="299"/>
      <c r="RVT37" s="299"/>
      <c r="RVU37" s="299"/>
      <c r="RVV37" s="299"/>
      <c r="RVW37" s="299"/>
      <c r="RVX37" s="299"/>
      <c r="RVY37" s="299"/>
      <c r="RVZ37" s="299"/>
      <c r="RWA37" s="299"/>
      <c r="RWB37" s="299"/>
      <c r="RWC37" s="299"/>
      <c r="RWD37" s="299"/>
      <c r="RWE37" s="299"/>
      <c r="RWF37" s="299"/>
      <c r="RWG37" s="299"/>
      <c r="RWH37" s="299"/>
      <c r="RWI37" s="299"/>
      <c r="RWJ37" s="299"/>
      <c r="RWK37" s="299"/>
      <c r="RWL37" s="299"/>
      <c r="RWM37" s="299"/>
      <c r="RWN37" s="299"/>
      <c r="RWO37" s="299"/>
      <c r="RWP37" s="299"/>
      <c r="RWQ37" s="299"/>
      <c r="RWR37" s="299"/>
      <c r="RWS37" s="299"/>
      <c r="RWT37" s="299"/>
      <c r="RWU37" s="299"/>
      <c r="RWV37" s="299"/>
      <c r="RWW37" s="299"/>
      <c r="RWX37" s="299"/>
      <c r="RWY37" s="299"/>
      <c r="RWZ37" s="299"/>
      <c r="RXA37" s="299"/>
      <c r="RXB37" s="299"/>
      <c r="RXC37" s="299"/>
      <c r="RXD37" s="299"/>
      <c r="RXE37" s="299"/>
      <c r="RXF37" s="299"/>
      <c r="RXG37" s="299"/>
      <c r="RXH37" s="299"/>
      <c r="RXI37" s="299"/>
      <c r="RXJ37" s="299"/>
      <c r="RXK37" s="299"/>
      <c r="RXL37" s="299"/>
      <c r="RXM37" s="299"/>
      <c r="RXN37" s="299"/>
      <c r="RXO37" s="299"/>
      <c r="RXP37" s="299"/>
      <c r="RXQ37" s="299"/>
      <c r="RXR37" s="299"/>
      <c r="RXS37" s="299"/>
      <c r="RXT37" s="299"/>
      <c r="RXU37" s="299"/>
      <c r="RXV37" s="299"/>
      <c r="RXW37" s="299"/>
      <c r="RXX37" s="299"/>
      <c r="RXY37" s="299"/>
      <c r="RXZ37" s="299"/>
      <c r="RYA37" s="299"/>
      <c r="RYB37" s="299"/>
      <c r="RYC37" s="299"/>
      <c r="RYD37" s="299"/>
      <c r="RYE37" s="299"/>
      <c r="RYF37" s="299"/>
      <c r="RYG37" s="299"/>
      <c r="RYH37" s="299"/>
      <c r="RYI37" s="299"/>
      <c r="RYJ37" s="299"/>
      <c r="RYK37" s="299"/>
      <c r="RYL37" s="299"/>
      <c r="RYM37" s="299"/>
      <c r="RYN37" s="299"/>
      <c r="RYO37" s="299"/>
      <c r="RYP37" s="299"/>
      <c r="RYQ37" s="299"/>
      <c r="RYR37" s="299"/>
      <c r="RYS37" s="299"/>
      <c r="RYT37" s="299"/>
      <c r="RYU37" s="299"/>
      <c r="RYV37" s="299"/>
      <c r="RYW37" s="299"/>
      <c r="RYX37" s="299"/>
      <c r="RYY37" s="299"/>
      <c r="RYZ37" s="299"/>
      <c r="RZA37" s="299"/>
      <c r="RZB37" s="299"/>
      <c r="RZC37" s="299"/>
      <c r="RZD37" s="299"/>
      <c r="RZE37" s="299"/>
      <c r="RZF37" s="299"/>
      <c r="RZG37" s="299"/>
      <c r="RZH37" s="299"/>
      <c r="RZI37" s="299"/>
      <c r="RZJ37" s="299"/>
      <c r="RZK37" s="299"/>
      <c r="RZL37" s="299"/>
      <c r="RZM37" s="299"/>
      <c r="RZN37" s="299"/>
      <c r="RZO37" s="299"/>
      <c r="RZP37" s="299"/>
      <c r="RZQ37" s="299"/>
      <c r="RZR37" s="299"/>
      <c r="RZS37" s="299"/>
      <c r="RZT37" s="299"/>
      <c r="RZU37" s="299"/>
      <c r="RZV37" s="299"/>
      <c r="RZW37" s="299"/>
      <c r="RZX37" s="299"/>
      <c r="RZY37" s="299"/>
      <c r="RZZ37" s="299"/>
      <c r="SAA37" s="299"/>
      <c r="SAB37" s="299"/>
      <c r="SAC37" s="299"/>
      <c r="SAD37" s="299"/>
      <c r="SAE37" s="299"/>
      <c r="SAF37" s="299"/>
      <c r="SAG37" s="299"/>
      <c r="SAH37" s="299"/>
      <c r="SAI37" s="299"/>
      <c r="SAJ37" s="299"/>
      <c r="SAK37" s="299"/>
      <c r="SAL37" s="299"/>
      <c r="SAM37" s="299"/>
      <c r="SAN37" s="299"/>
      <c r="SAO37" s="299"/>
      <c r="SAP37" s="299"/>
      <c r="SAQ37" s="299"/>
      <c r="SAR37" s="299"/>
      <c r="SAS37" s="299"/>
      <c r="SAT37" s="299"/>
      <c r="SAU37" s="299"/>
      <c r="SAV37" s="299"/>
      <c r="SAW37" s="299"/>
      <c r="SAX37" s="299"/>
      <c r="SAY37" s="299"/>
      <c r="SAZ37" s="299"/>
      <c r="SBA37" s="299"/>
      <c r="SBB37" s="299"/>
      <c r="SBC37" s="299"/>
      <c r="SBD37" s="299"/>
      <c r="SBE37" s="299"/>
      <c r="SBF37" s="299"/>
      <c r="SBG37" s="299"/>
      <c r="SBH37" s="299"/>
      <c r="SBI37" s="299"/>
      <c r="SBJ37" s="299"/>
      <c r="SBK37" s="299"/>
      <c r="SBL37" s="299"/>
      <c r="SBM37" s="299"/>
      <c r="SBN37" s="299"/>
      <c r="SBO37" s="299"/>
      <c r="SBP37" s="299"/>
      <c r="SBQ37" s="299"/>
      <c r="SBR37" s="299"/>
      <c r="SBS37" s="299"/>
      <c r="SBT37" s="299"/>
      <c r="SBU37" s="299"/>
      <c r="SBV37" s="299"/>
      <c r="SBW37" s="299"/>
      <c r="SBX37" s="299"/>
      <c r="SBY37" s="299"/>
      <c r="SBZ37" s="299"/>
      <c r="SCA37" s="299"/>
      <c r="SCB37" s="299"/>
      <c r="SCC37" s="299"/>
      <c r="SCD37" s="299"/>
      <c r="SCE37" s="299"/>
      <c r="SCF37" s="299"/>
      <c r="SCG37" s="299"/>
      <c r="SCH37" s="299"/>
      <c r="SCI37" s="299"/>
      <c r="SCJ37" s="299"/>
      <c r="SCK37" s="299"/>
      <c r="SCL37" s="299"/>
      <c r="SCM37" s="299"/>
      <c r="SCN37" s="299"/>
      <c r="SCO37" s="299"/>
      <c r="SCP37" s="299"/>
      <c r="SCQ37" s="299"/>
      <c r="SCR37" s="299"/>
      <c r="SCS37" s="299"/>
      <c r="SCT37" s="299"/>
      <c r="SCU37" s="299"/>
      <c r="SCV37" s="299"/>
      <c r="SCW37" s="299"/>
      <c r="SCX37" s="299"/>
      <c r="SCY37" s="299"/>
      <c r="SCZ37" s="299"/>
      <c r="SDA37" s="299"/>
      <c r="SDB37" s="299"/>
      <c r="SDC37" s="299"/>
      <c r="SDD37" s="299"/>
      <c r="SDE37" s="299"/>
      <c r="SDF37" s="299"/>
      <c r="SDG37" s="299"/>
      <c r="SDH37" s="299"/>
      <c r="SDI37" s="299"/>
      <c r="SDJ37" s="299"/>
      <c r="SDK37" s="299"/>
      <c r="SDL37" s="299"/>
      <c r="SDM37" s="299"/>
      <c r="SDN37" s="299"/>
      <c r="SDO37" s="299"/>
      <c r="SDP37" s="299"/>
      <c r="SDQ37" s="299"/>
      <c r="SDR37" s="299"/>
      <c r="SDS37" s="299"/>
      <c r="SDT37" s="299"/>
      <c r="SDU37" s="299"/>
      <c r="SDV37" s="299"/>
      <c r="SDW37" s="299"/>
      <c r="SDX37" s="299"/>
      <c r="SDY37" s="299"/>
      <c r="SDZ37" s="299"/>
      <c r="SEA37" s="299"/>
      <c r="SEB37" s="299"/>
      <c r="SEC37" s="299"/>
      <c r="SED37" s="299"/>
      <c r="SEE37" s="299"/>
      <c r="SEF37" s="299"/>
      <c r="SEG37" s="299"/>
      <c r="SEH37" s="299"/>
      <c r="SEI37" s="299"/>
      <c r="SEJ37" s="299"/>
      <c r="SEK37" s="299"/>
      <c r="SEL37" s="299"/>
      <c r="SEM37" s="299"/>
      <c r="SEN37" s="299"/>
      <c r="SEO37" s="299"/>
      <c r="SEP37" s="299"/>
      <c r="SEQ37" s="299"/>
      <c r="SER37" s="299"/>
      <c r="SES37" s="299"/>
      <c r="SET37" s="299"/>
      <c r="SEU37" s="299"/>
      <c r="SEV37" s="299"/>
      <c r="SEW37" s="299"/>
      <c r="SEX37" s="299"/>
      <c r="SEY37" s="299"/>
      <c r="SEZ37" s="299"/>
      <c r="SFA37" s="299"/>
      <c r="SFB37" s="299"/>
      <c r="SFC37" s="299"/>
      <c r="SFD37" s="299"/>
      <c r="SFE37" s="299"/>
      <c r="SFF37" s="299"/>
      <c r="SFG37" s="299"/>
      <c r="SFH37" s="299"/>
      <c r="SFI37" s="299"/>
      <c r="SFJ37" s="299"/>
      <c r="SFK37" s="299"/>
      <c r="SFL37" s="299"/>
      <c r="SFM37" s="299"/>
      <c r="SFN37" s="299"/>
      <c r="SFO37" s="299"/>
      <c r="SFP37" s="299"/>
      <c r="SFQ37" s="299"/>
      <c r="SFR37" s="299"/>
      <c r="SFS37" s="299"/>
      <c r="SFT37" s="299"/>
      <c r="SFU37" s="299"/>
      <c r="SFV37" s="299"/>
      <c r="SFW37" s="299"/>
      <c r="SFX37" s="299"/>
      <c r="SFY37" s="299"/>
      <c r="SFZ37" s="299"/>
      <c r="SGA37" s="299"/>
      <c r="SGB37" s="299"/>
      <c r="SGC37" s="299"/>
      <c r="SGD37" s="299"/>
      <c r="SGE37" s="299"/>
      <c r="SGF37" s="299"/>
      <c r="SGG37" s="299"/>
      <c r="SGH37" s="299"/>
      <c r="SGI37" s="299"/>
      <c r="SGJ37" s="299"/>
      <c r="SGK37" s="299"/>
      <c r="SGL37" s="299"/>
      <c r="SGM37" s="299"/>
      <c r="SGN37" s="299"/>
      <c r="SGO37" s="299"/>
      <c r="SGP37" s="299"/>
      <c r="SGQ37" s="299"/>
      <c r="SGR37" s="299"/>
      <c r="SGS37" s="299"/>
      <c r="SGT37" s="299"/>
      <c r="SGU37" s="299"/>
      <c r="SGV37" s="299"/>
      <c r="SGW37" s="299"/>
      <c r="SGX37" s="299"/>
      <c r="SGY37" s="299"/>
      <c r="SGZ37" s="299"/>
      <c r="SHA37" s="299"/>
      <c r="SHB37" s="299"/>
      <c r="SHC37" s="299"/>
      <c r="SHD37" s="299"/>
      <c r="SHE37" s="299"/>
      <c r="SHF37" s="299"/>
      <c r="SHG37" s="299"/>
      <c r="SHH37" s="299"/>
      <c r="SHI37" s="299"/>
      <c r="SHJ37" s="299"/>
      <c r="SHK37" s="299"/>
      <c r="SHL37" s="299"/>
      <c r="SHM37" s="299"/>
      <c r="SHN37" s="299"/>
      <c r="SHO37" s="299"/>
      <c r="SHP37" s="299"/>
      <c r="SHQ37" s="299"/>
      <c r="SHR37" s="299"/>
      <c r="SHS37" s="299"/>
      <c r="SHT37" s="299"/>
      <c r="SHU37" s="299"/>
      <c r="SHV37" s="299"/>
      <c r="SHW37" s="299"/>
      <c r="SHX37" s="299"/>
      <c r="SHY37" s="299"/>
      <c r="SHZ37" s="299"/>
      <c r="SIA37" s="299"/>
      <c r="SIB37" s="299"/>
      <c r="SIC37" s="299"/>
      <c r="SID37" s="299"/>
      <c r="SIE37" s="299"/>
      <c r="SIF37" s="299"/>
      <c r="SIG37" s="299"/>
      <c r="SIH37" s="299"/>
      <c r="SII37" s="299"/>
      <c r="SIJ37" s="299"/>
      <c r="SIK37" s="299"/>
      <c r="SIL37" s="299"/>
      <c r="SIM37" s="299"/>
      <c r="SIN37" s="299"/>
      <c r="SIO37" s="299"/>
      <c r="SIP37" s="299"/>
      <c r="SIQ37" s="299"/>
      <c r="SIR37" s="299"/>
      <c r="SIS37" s="299"/>
      <c r="SIT37" s="299"/>
      <c r="SIU37" s="299"/>
      <c r="SIV37" s="299"/>
      <c r="SIW37" s="299"/>
      <c r="SIX37" s="299"/>
      <c r="SIY37" s="299"/>
      <c r="SIZ37" s="299"/>
      <c r="SJA37" s="299"/>
      <c r="SJB37" s="299"/>
      <c r="SJC37" s="299"/>
      <c r="SJD37" s="299"/>
      <c r="SJE37" s="299"/>
      <c r="SJF37" s="299"/>
      <c r="SJG37" s="299"/>
      <c r="SJH37" s="299"/>
      <c r="SJI37" s="299"/>
      <c r="SJJ37" s="299"/>
      <c r="SJK37" s="299"/>
      <c r="SJL37" s="299"/>
      <c r="SJM37" s="299"/>
      <c r="SJN37" s="299"/>
      <c r="SJO37" s="299"/>
      <c r="SJP37" s="299"/>
      <c r="SJQ37" s="299"/>
      <c r="SJR37" s="299"/>
      <c r="SJS37" s="299"/>
      <c r="SJT37" s="299"/>
      <c r="SJU37" s="299"/>
      <c r="SJV37" s="299"/>
      <c r="SJW37" s="299"/>
      <c r="SJX37" s="299"/>
      <c r="SJY37" s="299"/>
      <c r="SJZ37" s="299"/>
      <c r="SKA37" s="299"/>
      <c r="SKB37" s="299"/>
      <c r="SKC37" s="299"/>
      <c r="SKD37" s="299"/>
      <c r="SKE37" s="299"/>
      <c r="SKF37" s="299"/>
      <c r="SKG37" s="299"/>
      <c r="SKH37" s="299"/>
      <c r="SKI37" s="299"/>
      <c r="SKJ37" s="299"/>
      <c r="SKK37" s="299"/>
      <c r="SKL37" s="299"/>
      <c r="SKM37" s="299"/>
      <c r="SKN37" s="299"/>
      <c r="SKO37" s="299"/>
      <c r="SKP37" s="299"/>
      <c r="SKQ37" s="299"/>
      <c r="SKR37" s="299"/>
      <c r="SKS37" s="299"/>
      <c r="SKT37" s="299"/>
      <c r="SKU37" s="299"/>
      <c r="SKV37" s="299"/>
      <c r="SKW37" s="299"/>
      <c r="SKX37" s="299"/>
      <c r="SKY37" s="299"/>
      <c r="SKZ37" s="299"/>
      <c r="SLA37" s="299"/>
      <c r="SLB37" s="299"/>
      <c r="SLC37" s="299"/>
      <c r="SLD37" s="299"/>
      <c r="SLE37" s="299"/>
      <c r="SLF37" s="299"/>
      <c r="SLG37" s="299"/>
      <c r="SLH37" s="299"/>
      <c r="SLI37" s="299"/>
      <c r="SLJ37" s="299"/>
      <c r="SLK37" s="299"/>
      <c r="SLL37" s="299"/>
      <c r="SLM37" s="299"/>
      <c r="SLN37" s="299"/>
      <c r="SLO37" s="299"/>
      <c r="SLP37" s="299"/>
      <c r="SLQ37" s="299"/>
      <c r="SLR37" s="299"/>
      <c r="SLS37" s="299"/>
      <c r="SLT37" s="299"/>
      <c r="SLU37" s="299"/>
      <c r="SLV37" s="299"/>
      <c r="SLW37" s="299"/>
      <c r="SLX37" s="299"/>
      <c r="SLY37" s="299"/>
      <c r="SLZ37" s="299"/>
      <c r="SMA37" s="299"/>
      <c r="SMB37" s="299"/>
      <c r="SMC37" s="299"/>
      <c r="SMD37" s="299"/>
      <c r="SME37" s="299"/>
      <c r="SMF37" s="299"/>
      <c r="SMG37" s="299"/>
      <c r="SMH37" s="299"/>
      <c r="SMI37" s="299"/>
      <c r="SMJ37" s="299"/>
      <c r="SMK37" s="299"/>
      <c r="SML37" s="299"/>
      <c r="SMM37" s="299"/>
      <c r="SMN37" s="299"/>
      <c r="SMO37" s="299"/>
      <c r="SMP37" s="299"/>
      <c r="SMQ37" s="299"/>
      <c r="SMR37" s="299"/>
      <c r="SMS37" s="299"/>
      <c r="SMT37" s="299"/>
      <c r="SMU37" s="299"/>
      <c r="SMV37" s="299"/>
      <c r="SMW37" s="299"/>
      <c r="SMX37" s="299"/>
      <c r="SMY37" s="299"/>
      <c r="SMZ37" s="299"/>
      <c r="SNA37" s="299"/>
      <c r="SNB37" s="299"/>
      <c r="SNC37" s="299"/>
      <c r="SND37" s="299"/>
      <c r="SNE37" s="299"/>
      <c r="SNF37" s="299"/>
      <c r="SNG37" s="299"/>
      <c r="SNH37" s="299"/>
      <c r="SNI37" s="299"/>
      <c r="SNJ37" s="299"/>
      <c r="SNK37" s="299"/>
      <c r="SNL37" s="299"/>
      <c r="SNM37" s="299"/>
      <c r="SNN37" s="299"/>
      <c r="SNO37" s="299"/>
      <c r="SNP37" s="299"/>
      <c r="SNQ37" s="299"/>
      <c r="SNR37" s="299"/>
      <c r="SNS37" s="299"/>
      <c r="SNT37" s="299"/>
      <c r="SNU37" s="299"/>
      <c r="SNV37" s="299"/>
      <c r="SNW37" s="299"/>
      <c r="SNX37" s="299"/>
      <c r="SNY37" s="299"/>
      <c r="SNZ37" s="299"/>
      <c r="SOA37" s="299"/>
      <c r="SOB37" s="299"/>
      <c r="SOC37" s="299"/>
      <c r="SOD37" s="299"/>
      <c r="SOE37" s="299"/>
      <c r="SOF37" s="299"/>
      <c r="SOG37" s="299"/>
      <c r="SOH37" s="299"/>
      <c r="SOI37" s="299"/>
      <c r="SOJ37" s="299"/>
      <c r="SOK37" s="299"/>
      <c r="SOL37" s="299"/>
      <c r="SOM37" s="299"/>
      <c r="SON37" s="299"/>
      <c r="SOO37" s="299"/>
      <c r="SOP37" s="299"/>
      <c r="SOQ37" s="299"/>
      <c r="SOR37" s="299"/>
      <c r="SOS37" s="299"/>
      <c r="SOT37" s="299"/>
      <c r="SOU37" s="299"/>
      <c r="SOV37" s="299"/>
      <c r="SOW37" s="299"/>
      <c r="SOX37" s="299"/>
      <c r="SOY37" s="299"/>
      <c r="SOZ37" s="299"/>
      <c r="SPA37" s="299"/>
      <c r="SPB37" s="299"/>
      <c r="SPC37" s="299"/>
      <c r="SPD37" s="299"/>
      <c r="SPE37" s="299"/>
      <c r="SPF37" s="299"/>
      <c r="SPG37" s="299"/>
      <c r="SPH37" s="299"/>
      <c r="SPI37" s="299"/>
      <c r="SPJ37" s="299"/>
      <c r="SPK37" s="299"/>
      <c r="SPL37" s="299"/>
      <c r="SPM37" s="299"/>
      <c r="SPN37" s="299"/>
      <c r="SPO37" s="299"/>
      <c r="SPP37" s="299"/>
      <c r="SPQ37" s="299"/>
      <c r="SPR37" s="299"/>
      <c r="SPS37" s="299"/>
      <c r="SPT37" s="299"/>
      <c r="SPU37" s="299"/>
      <c r="SPV37" s="299"/>
      <c r="SPW37" s="299"/>
      <c r="SPX37" s="299"/>
      <c r="SPY37" s="299"/>
      <c r="SPZ37" s="299"/>
      <c r="SQA37" s="299"/>
      <c r="SQB37" s="299"/>
      <c r="SQC37" s="299"/>
      <c r="SQD37" s="299"/>
      <c r="SQE37" s="299"/>
      <c r="SQF37" s="299"/>
      <c r="SQG37" s="299"/>
      <c r="SQH37" s="299"/>
      <c r="SQI37" s="299"/>
      <c r="SQJ37" s="299"/>
      <c r="SQK37" s="299"/>
      <c r="SQL37" s="299"/>
      <c r="SQM37" s="299"/>
      <c r="SQN37" s="299"/>
      <c r="SQO37" s="299"/>
      <c r="SQP37" s="299"/>
      <c r="SQQ37" s="299"/>
      <c r="SQR37" s="299"/>
      <c r="SQS37" s="299"/>
      <c r="SQT37" s="299"/>
      <c r="SQU37" s="299"/>
      <c r="SQV37" s="299"/>
      <c r="SQW37" s="299"/>
      <c r="SQX37" s="299"/>
      <c r="SQY37" s="299"/>
      <c r="SQZ37" s="299"/>
      <c r="SRA37" s="299"/>
      <c r="SRB37" s="299"/>
      <c r="SRC37" s="299"/>
      <c r="SRD37" s="299"/>
      <c r="SRE37" s="299"/>
      <c r="SRF37" s="299"/>
      <c r="SRG37" s="299"/>
      <c r="SRH37" s="299"/>
      <c r="SRI37" s="299"/>
      <c r="SRJ37" s="299"/>
      <c r="SRK37" s="299"/>
      <c r="SRL37" s="299"/>
      <c r="SRM37" s="299"/>
      <c r="SRN37" s="299"/>
      <c r="SRO37" s="299"/>
      <c r="SRP37" s="299"/>
      <c r="SRQ37" s="299"/>
      <c r="SRR37" s="299"/>
      <c r="SRS37" s="299"/>
      <c r="SRT37" s="299"/>
      <c r="SRU37" s="299"/>
      <c r="SRV37" s="299"/>
      <c r="SRW37" s="299"/>
      <c r="SRX37" s="299"/>
      <c r="SRY37" s="299"/>
      <c r="SRZ37" s="299"/>
      <c r="SSA37" s="299"/>
      <c r="SSB37" s="299"/>
      <c r="SSC37" s="299"/>
      <c r="SSD37" s="299"/>
      <c r="SSE37" s="299"/>
      <c r="SSF37" s="299"/>
      <c r="SSG37" s="299"/>
      <c r="SSH37" s="299"/>
      <c r="SSI37" s="299"/>
      <c r="SSJ37" s="299"/>
      <c r="SSK37" s="299"/>
      <c r="SSL37" s="299"/>
      <c r="SSM37" s="299"/>
      <c r="SSN37" s="299"/>
      <c r="SSO37" s="299"/>
      <c r="SSP37" s="299"/>
      <c r="SSQ37" s="299"/>
      <c r="SSR37" s="299"/>
      <c r="SSS37" s="299"/>
      <c r="SST37" s="299"/>
      <c r="SSU37" s="299"/>
      <c r="SSV37" s="299"/>
      <c r="SSW37" s="299"/>
      <c r="SSX37" s="299"/>
      <c r="SSY37" s="299"/>
      <c r="SSZ37" s="299"/>
      <c r="STA37" s="299"/>
      <c r="STB37" s="299"/>
      <c r="STC37" s="299"/>
      <c r="STD37" s="299"/>
      <c r="STE37" s="299"/>
      <c r="STF37" s="299"/>
      <c r="STG37" s="299"/>
      <c r="STH37" s="299"/>
      <c r="STI37" s="299"/>
      <c r="STJ37" s="299"/>
      <c r="STK37" s="299"/>
      <c r="STL37" s="299"/>
      <c r="STM37" s="299"/>
      <c r="STN37" s="299"/>
      <c r="STO37" s="299"/>
      <c r="STP37" s="299"/>
      <c r="STQ37" s="299"/>
      <c r="STR37" s="299"/>
      <c r="STS37" s="299"/>
      <c r="STT37" s="299"/>
      <c r="STU37" s="299"/>
      <c r="STV37" s="299"/>
      <c r="STW37" s="299"/>
      <c r="STX37" s="299"/>
      <c r="STY37" s="299"/>
      <c r="STZ37" s="299"/>
      <c r="SUA37" s="299"/>
      <c r="SUB37" s="299"/>
      <c r="SUC37" s="299"/>
      <c r="SUD37" s="299"/>
      <c r="SUE37" s="299"/>
      <c r="SUF37" s="299"/>
      <c r="SUG37" s="299"/>
      <c r="SUH37" s="299"/>
      <c r="SUI37" s="299"/>
      <c r="SUJ37" s="299"/>
      <c r="SUK37" s="299"/>
      <c r="SUL37" s="299"/>
      <c r="SUM37" s="299"/>
      <c r="SUN37" s="299"/>
      <c r="SUO37" s="299"/>
      <c r="SUP37" s="299"/>
      <c r="SUQ37" s="299"/>
      <c r="SUR37" s="299"/>
      <c r="SUS37" s="299"/>
      <c r="SUT37" s="299"/>
      <c r="SUU37" s="299"/>
      <c r="SUV37" s="299"/>
      <c r="SUW37" s="299"/>
      <c r="SUX37" s="299"/>
      <c r="SUY37" s="299"/>
      <c r="SUZ37" s="299"/>
      <c r="SVA37" s="299"/>
      <c r="SVB37" s="299"/>
      <c r="SVC37" s="299"/>
      <c r="SVD37" s="299"/>
      <c r="SVE37" s="299"/>
      <c r="SVF37" s="299"/>
      <c r="SVG37" s="299"/>
      <c r="SVH37" s="299"/>
      <c r="SVI37" s="299"/>
      <c r="SVJ37" s="299"/>
      <c r="SVK37" s="299"/>
      <c r="SVL37" s="299"/>
      <c r="SVM37" s="299"/>
      <c r="SVN37" s="299"/>
      <c r="SVO37" s="299"/>
      <c r="SVP37" s="299"/>
      <c r="SVQ37" s="299"/>
      <c r="SVR37" s="299"/>
      <c r="SVS37" s="299"/>
      <c r="SVT37" s="299"/>
      <c r="SVU37" s="299"/>
      <c r="SVV37" s="299"/>
      <c r="SVW37" s="299"/>
      <c r="SVX37" s="299"/>
      <c r="SVY37" s="299"/>
      <c r="SVZ37" s="299"/>
      <c r="SWA37" s="299"/>
      <c r="SWB37" s="299"/>
      <c r="SWC37" s="299"/>
      <c r="SWD37" s="299"/>
      <c r="SWE37" s="299"/>
      <c r="SWF37" s="299"/>
      <c r="SWG37" s="299"/>
      <c r="SWH37" s="299"/>
      <c r="SWI37" s="299"/>
      <c r="SWJ37" s="299"/>
      <c r="SWK37" s="299"/>
      <c r="SWL37" s="299"/>
      <c r="SWM37" s="299"/>
      <c r="SWN37" s="299"/>
      <c r="SWO37" s="299"/>
      <c r="SWP37" s="299"/>
      <c r="SWQ37" s="299"/>
      <c r="SWR37" s="299"/>
      <c r="SWS37" s="299"/>
      <c r="SWT37" s="299"/>
      <c r="SWU37" s="299"/>
      <c r="SWV37" s="299"/>
      <c r="SWW37" s="299"/>
      <c r="SWX37" s="299"/>
      <c r="SWY37" s="299"/>
      <c r="SWZ37" s="299"/>
      <c r="SXA37" s="299"/>
      <c r="SXB37" s="299"/>
      <c r="SXC37" s="299"/>
      <c r="SXD37" s="299"/>
      <c r="SXE37" s="299"/>
      <c r="SXF37" s="299"/>
      <c r="SXG37" s="299"/>
      <c r="SXH37" s="299"/>
      <c r="SXI37" s="299"/>
      <c r="SXJ37" s="299"/>
      <c r="SXK37" s="299"/>
      <c r="SXL37" s="299"/>
      <c r="SXM37" s="299"/>
      <c r="SXN37" s="299"/>
      <c r="SXO37" s="299"/>
      <c r="SXP37" s="299"/>
      <c r="SXQ37" s="299"/>
      <c r="SXR37" s="299"/>
      <c r="SXS37" s="299"/>
      <c r="SXT37" s="299"/>
      <c r="SXU37" s="299"/>
      <c r="SXV37" s="299"/>
      <c r="SXW37" s="299"/>
      <c r="SXX37" s="299"/>
      <c r="SXY37" s="299"/>
      <c r="SXZ37" s="299"/>
      <c r="SYA37" s="299"/>
      <c r="SYB37" s="299"/>
      <c r="SYC37" s="299"/>
      <c r="SYD37" s="299"/>
      <c r="SYE37" s="299"/>
      <c r="SYF37" s="299"/>
      <c r="SYG37" s="299"/>
      <c r="SYH37" s="299"/>
      <c r="SYI37" s="299"/>
      <c r="SYJ37" s="299"/>
      <c r="SYK37" s="299"/>
      <c r="SYL37" s="299"/>
      <c r="SYM37" s="299"/>
      <c r="SYN37" s="299"/>
      <c r="SYO37" s="299"/>
      <c r="SYP37" s="299"/>
      <c r="SYQ37" s="299"/>
      <c r="SYR37" s="299"/>
      <c r="SYS37" s="299"/>
      <c r="SYT37" s="299"/>
      <c r="SYU37" s="299"/>
      <c r="SYV37" s="299"/>
      <c r="SYW37" s="299"/>
      <c r="SYX37" s="299"/>
      <c r="SYY37" s="299"/>
      <c r="SYZ37" s="299"/>
      <c r="SZA37" s="299"/>
      <c r="SZB37" s="299"/>
      <c r="SZC37" s="299"/>
      <c r="SZD37" s="299"/>
      <c r="SZE37" s="299"/>
      <c r="SZF37" s="299"/>
      <c r="SZG37" s="299"/>
      <c r="SZH37" s="299"/>
      <c r="SZI37" s="299"/>
      <c r="SZJ37" s="299"/>
      <c r="SZK37" s="299"/>
      <c r="SZL37" s="299"/>
      <c r="SZM37" s="299"/>
      <c r="SZN37" s="299"/>
      <c r="SZO37" s="299"/>
      <c r="SZP37" s="299"/>
      <c r="SZQ37" s="299"/>
      <c r="SZR37" s="299"/>
      <c r="SZS37" s="299"/>
      <c r="SZT37" s="299"/>
      <c r="SZU37" s="299"/>
      <c r="SZV37" s="299"/>
      <c r="SZW37" s="299"/>
      <c r="SZX37" s="299"/>
      <c r="SZY37" s="299"/>
      <c r="SZZ37" s="299"/>
      <c r="TAA37" s="299"/>
      <c r="TAB37" s="299"/>
      <c r="TAC37" s="299"/>
      <c r="TAD37" s="299"/>
      <c r="TAE37" s="299"/>
      <c r="TAF37" s="299"/>
      <c r="TAG37" s="299"/>
      <c r="TAH37" s="299"/>
      <c r="TAI37" s="299"/>
      <c r="TAJ37" s="299"/>
      <c r="TAK37" s="299"/>
      <c r="TAL37" s="299"/>
      <c r="TAM37" s="299"/>
      <c r="TAN37" s="299"/>
      <c r="TAO37" s="299"/>
      <c r="TAP37" s="299"/>
      <c r="TAQ37" s="299"/>
      <c r="TAR37" s="299"/>
      <c r="TAS37" s="299"/>
      <c r="TAT37" s="299"/>
      <c r="TAU37" s="299"/>
      <c r="TAV37" s="299"/>
      <c r="TAW37" s="299"/>
      <c r="TAX37" s="299"/>
      <c r="TAY37" s="299"/>
      <c r="TAZ37" s="299"/>
      <c r="TBA37" s="299"/>
      <c r="TBB37" s="299"/>
      <c r="TBC37" s="299"/>
      <c r="TBD37" s="299"/>
      <c r="TBE37" s="299"/>
      <c r="TBF37" s="299"/>
      <c r="TBG37" s="299"/>
      <c r="TBH37" s="299"/>
      <c r="TBI37" s="299"/>
      <c r="TBJ37" s="299"/>
      <c r="TBK37" s="299"/>
      <c r="TBL37" s="299"/>
      <c r="TBM37" s="299"/>
      <c r="TBN37" s="299"/>
      <c r="TBO37" s="299"/>
      <c r="TBP37" s="299"/>
      <c r="TBQ37" s="299"/>
      <c r="TBR37" s="299"/>
      <c r="TBS37" s="299"/>
      <c r="TBT37" s="299"/>
      <c r="TBU37" s="299"/>
      <c r="TBV37" s="299"/>
      <c r="TBW37" s="299"/>
      <c r="TBX37" s="299"/>
      <c r="TBY37" s="299"/>
      <c r="TBZ37" s="299"/>
      <c r="TCA37" s="299"/>
      <c r="TCB37" s="299"/>
      <c r="TCC37" s="299"/>
      <c r="TCD37" s="299"/>
      <c r="TCE37" s="299"/>
      <c r="TCF37" s="299"/>
      <c r="TCG37" s="299"/>
      <c r="TCH37" s="299"/>
      <c r="TCI37" s="299"/>
      <c r="TCJ37" s="299"/>
      <c r="TCK37" s="299"/>
      <c r="TCL37" s="299"/>
      <c r="TCM37" s="299"/>
      <c r="TCN37" s="299"/>
      <c r="TCO37" s="299"/>
      <c r="TCP37" s="299"/>
      <c r="TCQ37" s="299"/>
      <c r="TCR37" s="299"/>
      <c r="TCS37" s="299"/>
      <c r="TCT37" s="299"/>
      <c r="TCU37" s="299"/>
      <c r="TCV37" s="299"/>
      <c r="TCW37" s="299"/>
      <c r="TCX37" s="299"/>
      <c r="TCY37" s="299"/>
      <c r="TCZ37" s="299"/>
      <c r="TDA37" s="299"/>
      <c r="TDB37" s="299"/>
      <c r="TDC37" s="299"/>
      <c r="TDD37" s="299"/>
      <c r="TDE37" s="299"/>
      <c r="TDF37" s="299"/>
      <c r="TDG37" s="299"/>
      <c r="TDH37" s="299"/>
      <c r="TDI37" s="299"/>
      <c r="TDJ37" s="299"/>
      <c r="TDK37" s="299"/>
      <c r="TDL37" s="299"/>
      <c r="TDM37" s="299"/>
      <c r="TDN37" s="299"/>
      <c r="TDO37" s="299"/>
      <c r="TDP37" s="299"/>
      <c r="TDQ37" s="299"/>
      <c r="TDR37" s="299"/>
      <c r="TDS37" s="299"/>
      <c r="TDT37" s="299"/>
      <c r="TDU37" s="299"/>
      <c r="TDV37" s="299"/>
      <c r="TDW37" s="299"/>
      <c r="TDX37" s="299"/>
      <c r="TDY37" s="299"/>
      <c r="TDZ37" s="299"/>
      <c r="TEA37" s="299"/>
      <c r="TEB37" s="299"/>
      <c r="TEC37" s="299"/>
      <c r="TED37" s="299"/>
      <c r="TEE37" s="299"/>
      <c r="TEF37" s="299"/>
      <c r="TEG37" s="299"/>
      <c r="TEH37" s="299"/>
      <c r="TEI37" s="299"/>
      <c r="TEJ37" s="299"/>
      <c r="TEK37" s="299"/>
      <c r="TEL37" s="299"/>
      <c r="TEM37" s="299"/>
      <c r="TEN37" s="299"/>
      <c r="TEO37" s="299"/>
      <c r="TEP37" s="299"/>
      <c r="TEQ37" s="299"/>
      <c r="TER37" s="299"/>
      <c r="TES37" s="299"/>
      <c r="TET37" s="299"/>
      <c r="TEU37" s="299"/>
      <c r="TEV37" s="299"/>
      <c r="TEW37" s="299"/>
      <c r="TEX37" s="299"/>
      <c r="TEY37" s="299"/>
      <c r="TEZ37" s="299"/>
      <c r="TFA37" s="299"/>
      <c r="TFB37" s="299"/>
      <c r="TFC37" s="299"/>
      <c r="TFD37" s="299"/>
      <c r="TFE37" s="299"/>
      <c r="TFF37" s="299"/>
      <c r="TFG37" s="299"/>
      <c r="TFH37" s="299"/>
      <c r="TFI37" s="299"/>
      <c r="TFJ37" s="299"/>
      <c r="TFK37" s="299"/>
      <c r="TFL37" s="299"/>
      <c r="TFM37" s="299"/>
      <c r="TFN37" s="299"/>
      <c r="TFO37" s="299"/>
      <c r="TFP37" s="299"/>
      <c r="TFQ37" s="299"/>
      <c r="TFR37" s="299"/>
      <c r="TFS37" s="299"/>
      <c r="TFT37" s="299"/>
      <c r="TFU37" s="299"/>
      <c r="TFV37" s="299"/>
      <c r="TFW37" s="299"/>
      <c r="TFX37" s="299"/>
      <c r="TFY37" s="299"/>
      <c r="TFZ37" s="299"/>
      <c r="TGA37" s="299"/>
      <c r="TGB37" s="299"/>
      <c r="TGC37" s="299"/>
      <c r="TGD37" s="299"/>
      <c r="TGE37" s="299"/>
      <c r="TGF37" s="299"/>
      <c r="TGG37" s="299"/>
      <c r="TGH37" s="299"/>
      <c r="TGI37" s="299"/>
      <c r="TGJ37" s="299"/>
      <c r="TGK37" s="299"/>
      <c r="TGL37" s="299"/>
      <c r="TGM37" s="299"/>
      <c r="TGN37" s="299"/>
      <c r="TGO37" s="299"/>
      <c r="TGP37" s="299"/>
      <c r="TGQ37" s="299"/>
      <c r="TGR37" s="299"/>
      <c r="TGS37" s="299"/>
      <c r="TGT37" s="299"/>
      <c r="TGU37" s="299"/>
      <c r="TGV37" s="299"/>
      <c r="TGW37" s="299"/>
      <c r="TGX37" s="299"/>
      <c r="TGY37" s="299"/>
      <c r="TGZ37" s="299"/>
      <c r="THA37" s="299"/>
      <c r="THB37" s="299"/>
      <c r="THC37" s="299"/>
      <c r="THD37" s="299"/>
      <c r="THE37" s="299"/>
      <c r="THF37" s="299"/>
      <c r="THG37" s="299"/>
      <c r="THH37" s="299"/>
      <c r="THI37" s="299"/>
      <c r="THJ37" s="299"/>
      <c r="THK37" s="299"/>
      <c r="THL37" s="299"/>
      <c r="THM37" s="299"/>
      <c r="THN37" s="299"/>
      <c r="THO37" s="299"/>
      <c r="THP37" s="299"/>
      <c r="THQ37" s="299"/>
      <c r="THR37" s="299"/>
      <c r="THS37" s="299"/>
      <c r="THT37" s="299"/>
      <c r="THU37" s="299"/>
      <c r="THV37" s="299"/>
      <c r="THW37" s="299"/>
      <c r="THX37" s="299"/>
      <c r="THY37" s="299"/>
      <c r="THZ37" s="299"/>
      <c r="TIA37" s="299"/>
      <c r="TIB37" s="299"/>
      <c r="TIC37" s="299"/>
      <c r="TID37" s="299"/>
      <c r="TIE37" s="299"/>
      <c r="TIF37" s="299"/>
      <c r="TIG37" s="299"/>
      <c r="TIH37" s="299"/>
      <c r="TII37" s="299"/>
      <c r="TIJ37" s="299"/>
      <c r="TIK37" s="299"/>
      <c r="TIL37" s="299"/>
      <c r="TIM37" s="299"/>
      <c r="TIN37" s="299"/>
      <c r="TIO37" s="299"/>
      <c r="TIP37" s="299"/>
      <c r="TIQ37" s="299"/>
      <c r="TIR37" s="299"/>
      <c r="TIS37" s="299"/>
      <c r="TIT37" s="299"/>
      <c r="TIU37" s="299"/>
      <c r="TIV37" s="299"/>
      <c r="TIW37" s="299"/>
      <c r="TIX37" s="299"/>
      <c r="TIY37" s="299"/>
      <c r="TIZ37" s="299"/>
      <c r="TJA37" s="299"/>
      <c r="TJB37" s="299"/>
      <c r="TJC37" s="299"/>
      <c r="TJD37" s="299"/>
      <c r="TJE37" s="299"/>
      <c r="TJF37" s="299"/>
      <c r="TJG37" s="299"/>
      <c r="TJH37" s="299"/>
      <c r="TJI37" s="299"/>
      <c r="TJJ37" s="299"/>
      <c r="TJK37" s="299"/>
      <c r="TJL37" s="299"/>
      <c r="TJM37" s="299"/>
      <c r="TJN37" s="299"/>
      <c r="TJO37" s="299"/>
      <c r="TJP37" s="299"/>
      <c r="TJQ37" s="299"/>
      <c r="TJR37" s="299"/>
      <c r="TJS37" s="299"/>
      <c r="TJT37" s="299"/>
      <c r="TJU37" s="299"/>
      <c r="TJV37" s="299"/>
      <c r="TJW37" s="299"/>
      <c r="TJX37" s="299"/>
      <c r="TJY37" s="299"/>
      <c r="TJZ37" s="299"/>
      <c r="TKA37" s="299"/>
      <c r="TKB37" s="299"/>
      <c r="TKC37" s="299"/>
      <c r="TKD37" s="299"/>
      <c r="TKE37" s="299"/>
      <c r="TKF37" s="299"/>
      <c r="TKG37" s="299"/>
      <c r="TKH37" s="299"/>
      <c r="TKI37" s="299"/>
      <c r="TKJ37" s="299"/>
      <c r="TKK37" s="299"/>
      <c r="TKL37" s="299"/>
      <c r="TKM37" s="299"/>
      <c r="TKN37" s="299"/>
      <c r="TKO37" s="299"/>
      <c r="TKP37" s="299"/>
      <c r="TKQ37" s="299"/>
      <c r="TKR37" s="299"/>
      <c r="TKS37" s="299"/>
      <c r="TKT37" s="299"/>
      <c r="TKU37" s="299"/>
      <c r="TKV37" s="299"/>
      <c r="TKW37" s="299"/>
      <c r="TKX37" s="299"/>
      <c r="TKY37" s="299"/>
      <c r="TKZ37" s="299"/>
      <c r="TLA37" s="299"/>
      <c r="TLB37" s="299"/>
      <c r="TLC37" s="299"/>
      <c r="TLD37" s="299"/>
      <c r="TLE37" s="299"/>
      <c r="TLF37" s="299"/>
      <c r="TLG37" s="299"/>
      <c r="TLH37" s="299"/>
      <c r="TLI37" s="299"/>
      <c r="TLJ37" s="299"/>
      <c r="TLK37" s="299"/>
      <c r="TLL37" s="299"/>
      <c r="TLM37" s="299"/>
      <c r="TLN37" s="299"/>
      <c r="TLO37" s="299"/>
      <c r="TLP37" s="299"/>
      <c r="TLQ37" s="299"/>
      <c r="TLR37" s="299"/>
      <c r="TLS37" s="299"/>
      <c r="TLT37" s="299"/>
      <c r="TLU37" s="299"/>
      <c r="TLV37" s="299"/>
      <c r="TLW37" s="299"/>
      <c r="TLX37" s="299"/>
      <c r="TLY37" s="299"/>
      <c r="TLZ37" s="299"/>
      <c r="TMA37" s="299"/>
      <c r="TMB37" s="299"/>
      <c r="TMC37" s="299"/>
      <c r="TMD37" s="299"/>
      <c r="TME37" s="299"/>
      <c r="TMF37" s="299"/>
      <c r="TMG37" s="299"/>
      <c r="TMH37" s="299"/>
      <c r="TMI37" s="299"/>
      <c r="TMJ37" s="299"/>
      <c r="TMK37" s="299"/>
      <c r="TML37" s="299"/>
      <c r="TMM37" s="299"/>
      <c r="TMN37" s="299"/>
      <c r="TMO37" s="299"/>
      <c r="TMP37" s="299"/>
      <c r="TMQ37" s="299"/>
      <c r="TMR37" s="299"/>
      <c r="TMS37" s="299"/>
      <c r="TMT37" s="299"/>
      <c r="TMU37" s="299"/>
      <c r="TMV37" s="299"/>
      <c r="TMW37" s="299"/>
      <c r="TMX37" s="299"/>
      <c r="TMY37" s="299"/>
      <c r="TMZ37" s="299"/>
      <c r="TNA37" s="299"/>
      <c r="TNB37" s="299"/>
      <c r="TNC37" s="299"/>
      <c r="TND37" s="299"/>
      <c r="TNE37" s="299"/>
      <c r="TNF37" s="299"/>
      <c r="TNG37" s="299"/>
      <c r="TNH37" s="299"/>
      <c r="TNI37" s="299"/>
      <c r="TNJ37" s="299"/>
      <c r="TNK37" s="299"/>
      <c r="TNL37" s="299"/>
      <c r="TNM37" s="299"/>
      <c r="TNN37" s="299"/>
      <c r="TNO37" s="299"/>
      <c r="TNP37" s="299"/>
      <c r="TNQ37" s="299"/>
      <c r="TNR37" s="299"/>
      <c r="TNS37" s="299"/>
      <c r="TNT37" s="299"/>
      <c r="TNU37" s="299"/>
      <c r="TNV37" s="299"/>
      <c r="TNW37" s="299"/>
      <c r="TNX37" s="299"/>
      <c r="TNY37" s="299"/>
      <c r="TNZ37" s="299"/>
      <c r="TOA37" s="299"/>
      <c r="TOB37" s="299"/>
      <c r="TOC37" s="299"/>
      <c r="TOD37" s="299"/>
      <c r="TOE37" s="299"/>
      <c r="TOF37" s="299"/>
      <c r="TOG37" s="299"/>
      <c r="TOH37" s="299"/>
      <c r="TOI37" s="299"/>
      <c r="TOJ37" s="299"/>
      <c r="TOK37" s="299"/>
      <c r="TOL37" s="299"/>
      <c r="TOM37" s="299"/>
      <c r="TON37" s="299"/>
      <c r="TOO37" s="299"/>
      <c r="TOP37" s="299"/>
      <c r="TOQ37" s="299"/>
      <c r="TOR37" s="299"/>
      <c r="TOS37" s="299"/>
      <c r="TOT37" s="299"/>
      <c r="TOU37" s="299"/>
      <c r="TOV37" s="299"/>
      <c r="TOW37" s="299"/>
      <c r="TOX37" s="299"/>
      <c r="TOY37" s="299"/>
      <c r="TOZ37" s="299"/>
      <c r="TPA37" s="299"/>
      <c r="TPB37" s="299"/>
      <c r="TPC37" s="299"/>
      <c r="TPD37" s="299"/>
      <c r="TPE37" s="299"/>
      <c r="TPF37" s="299"/>
      <c r="TPG37" s="299"/>
      <c r="TPH37" s="299"/>
      <c r="TPI37" s="299"/>
      <c r="TPJ37" s="299"/>
      <c r="TPK37" s="299"/>
      <c r="TPL37" s="299"/>
      <c r="TPM37" s="299"/>
      <c r="TPN37" s="299"/>
      <c r="TPO37" s="299"/>
      <c r="TPP37" s="299"/>
      <c r="TPQ37" s="299"/>
      <c r="TPR37" s="299"/>
      <c r="TPS37" s="299"/>
      <c r="TPT37" s="299"/>
      <c r="TPU37" s="299"/>
      <c r="TPV37" s="299"/>
      <c r="TPW37" s="299"/>
      <c r="TPX37" s="299"/>
      <c r="TPY37" s="299"/>
      <c r="TPZ37" s="299"/>
      <c r="TQA37" s="299"/>
      <c r="TQB37" s="299"/>
      <c r="TQC37" s="299"/>
      <c r="TQD37" s="299"/>
      <c r="TQE37" s="299"/>
      <c r="TQF37" s="299"/>
      <c r="TQG37" s="299"/>
      <c r="TQH37" s="299"/>
      <c r="TQI37" s="299"/>
      <c r="TQJ37" s="299"/>
      <c r="TQK37" s="299"/>
      <c r="TQL37" s="299"/>
      <c r="TQM37" s="299"/>
      <c r="TQN37" s="299"/>
      <c r="TQO37" s="299"/>
      <c r="TQP37" s="299"/>
      <c r="TQQ37" s="299"/>
      <c r="TQR37" s="299"/>
      <c r="TQS37" s="299"/>
      <c r="TQT37" s="299"/>
      <c r="TQU37" s="299"/>
      <c r="TQV37" s="299"/>
      <c r="TQW37" s="299"/>
      <c r="TQX37" s="299"/>
      <c r="TQY37" s="299"/>
      <c r="TQZ37" s="299"/>
      <c r="TRA37" s="299"/>
      <c r="TRB37" s="299"/>
      <c r="TRC37" s="299"/>
      <c r="TRD37" s="299"/>
      <c r="TRE37" s="299"/>
      <c r="TRF37" s="299"/>
      <c r="TRG37" s="299"/>
      <c r="TRH37" s="299"/>
      <c r="TRI37" s="299"/>
      <c r="TRJ37" s="299"/>
      <c r="TRK37" s="299"/>
      <c r="TRL37" s="299"/>
      <c r="TRM37" s="299"/>
      <c r="TRN37" s="299"/>
      <c r="TRO37" s="299"/>
      <c r="TRP37" s="299"/>
      <c r="TRQ37" s="299"/>
      <c r="TRR37" s="299"/>
      <c r="TRS37" s="299"/>
      <c r="TRT37" s="299"/>
      <c r="TRU37" s="299"/>
      <c r="TRV37" s="299"/>
      <c r="TRW37" s="299"/>
      <c r="TRX37" s="299"/>
      <c r="TRY37" s="299"/>
      <c r="TRZ37" s="299"/>
      <c r="TSA37" s="299"/>
      <c r="TSB37" s="299"/>
      <c r="TSC37" s="299"/>
      <c r="TSD37" s="299"/>
      <c r="TSE37" s="299"/>
      <c r="TSF37" s="299"/>
      <c r="TSG37" s="299"/>
      <c r="TSH37" s="299"/>
      <c r="TSI37" s="299"/>
      <c r="TSJ37" s="299"/>
      <c r="TSK37" s="299"/>
      <c r="TSL37" s="299"/>
      <c r="TSM37" s="299"/>
      <c r="TSN37" s="299"/>
      <c r="TSO37" s="299"/>
      <c r="TSP37" s="299"/>
      <c r="TSQ37" s="299"/>
      <c r="TSR37" s="299"/>
      <c r="TSS37" s="299"/>
      <c r="TST37" s="299"/>
      <c r="TSU37" s="299"/>
      <c r="TSV37" s="299"/>
      <c r="TSW37" s="299"/>
      <c r="TSX37" s="299"/>
      <c r="TSY37" s="299"/>
      <c r="TSZ37" s="299"/>
      <c r="TTA37" s="299"/>
      <c r="TTB37" s="299"/>
      <c r="TTC37" s="299"/>
      <c r="TTD37" s="299"/>
      <c r="TTE37" s="299"/>
      <c r="TTF37" s="299"/>
      <c r="TTG37" s="299"/>
      <c r="TTH37" s="299"/>
      <c r="TTI37" s="299"/>
      <c r="TTJ37" s="299"/>
      <c r="TTK37" s="299"/>
      <c r="TTL37" s="299"/>
      <c r="TTM37" s="299"/>
      <c r="TTN37" s="299"/>
      <c r="TTO37" s="299"/>
      <c r="TTP37" s="299"/>
      <c r="TTQ37" s="299"/>
      <c r="TTR37" s="299"/>
      <c r="TTS37" s="299"/>
      <c r="TTT37" s="299"/>
      <c r="TTU37" s="299"/>
      <c r="TTV37" s="299"/>
      <c r="TTW37" s="299"/>
      <c r="TTX37" s="299"/>
      <c r="TTY37" s="299"/>
      <c r="TTZ37" s="299"/>
      <c r="TUA37" s="299"/>
      <c r="TUB37" s="299"/>
      <c r="TUC37" s="299"/>
      <c r="TUD37" s="299"/>
      <c r="TUE37" s="299"/>
      <c r="TUF37" s="299"/>
      <c r="TUG37" s="299"/>
      <c r="TUH37" s="299"/>
      <c r="TUI37" s="299"/>
      <c r="TUJ37" s="299"/>
      <c r="TUK37" s="299"/>
      <c r="TUL37" s="299"/>
      <c r="TUM37" s="299"/>
      <c r="TUN37" s="299"/>
      <c r="TUO37" s="299"/>
      <c r="TUP37" s="299"/>
      <c r="TUQ37" s="299"/>
      <c r="TUR37" s="299"/>
      <c r="TUS37" s="299"/>
      <c r="TUT37" s="299"/>
      <c r="TUU37" s="299"/>
      <c r="TUV37" s="299"/>
      <c r="TUW37" s="299"/>
      <c r="TUX37" s="299"/>
      <c r="TUY37" s="299"/>
      <c r="TUZ37" s="299"/>
      <c r="TVA37" s="299"/>
      <c r="TVB37" s="299"/>
      <c r="TVC37" s="299"/>
      <c r="TVD37" s="299"/>
      <c r="TVE37" s="299"/>
      <c r="TVF37" s="299"/>
      <c r="TVG37" s="299"/>
      <c r="TVH37" s="299"/>
      <c r="TVI37" s="299"/>
      <c r="TVJ37" s="299"/>
      <c r="TVK37" s="299"/>
      <c r="TVL37" s="299"/>
      <c r="TVM37" s="299"/>
      <c r="TVN37" s="299"/>
      <c r="TVO37" s="299"/>
      <c r="TVP37" s="299"/>
      <c r="TVQ37" s="299"/>
      <c r="TVR37" s="299"/>
      <c r="TVS37" s="299"/>
      <c r="TVT37" s="299"/>
      <c r="TVU37" s="299"/>
      <c r="TVV37" s="299"/>
      <c r="TVW37" s="299"/>
      <c r="TVX37" s="299"/>
      <c r="TVY37" s="299"/>
      <c r="TVZ37" s="299"/>
      <c r="TWA37" s="299"/>
      <c r="TWB37" s="299"/>
      <c r="TWC37" s="299"/>
      <c r="TWD37" s="299"/>
      <c r="TWE37" s="299"/>
      <c r="TWF37" s="299"/>
      <c r="TWG37" s="299"/>
      <c r="TWH37" s="299"/>
      <c r="TWI37" s="299"/>
      <c r="TWJ37" s="299"/>
      <c r="TWK37" s="299"/>
      <c r="TWL37" s="299"/>
      <c r="TWM37" s="299"/>
      <c r="TWN37" s="299"/>
      <c r="TWO37" s="299"/>
      <c r="TWP37" s="299"/>
      <c r="TWQ37" s="299"/>
      <c r="TWR37" s="299"/>
      <c r="TWS37" s="299"/>
      <c r="TWT37" s="299"/>
      <c r="TWU37" s="299"/>
      <c r="TWV37" s="299"/>
      <c r="TWW37" s="299"/>
      <c r="TWX37" s="299"/>
      <c r="TWY37" s="299"/>
      <c r="TWZ37" s="299"/>
      <c r="TXA37" s="299"/>
      <c r="TXB37" s="299"/>
      <c r="TXC37" s="299"/>
      <c r="TXD37" s="299"/>
      <c r="TXE37" s="299"/>
      <c r="TXF37" s="299"/>
      <c r="TXG37" s="299"/>
      <c r="TXH37" s="299"/>
      <c r="TXI37" s="299"/>
      <c r="TXJ37" s="299"/>
      <c r="TXK37" s="299"/>
      <c r="TXL37" s="299"/>
      <c r="TXM37" s="299"/>
      <c r="TXN37" s="299"/>
      <c r="TXO37" s="299"/>
      <c r="TXP37" s="299"/>
      <c r="TXQ37" s="299"/>
      <c r="TXR37" s="299"/>
      <c r="TXS37" s="299"/>
      <c r="TXT37" s="299"/>
      <c r="TXU37" s="299"/>
      <c r="TXV37" s="299"/>
      <c r="TXW37" s="299"/>
      <c r="TXX37" s="299"/>
      <c r="TXY37" s="299"/>
      <c r="TXZ37" s="299"/>
      <c r="TYA37" s="299"/>
      <c r="TYB37" s="299"/>
      <c r="TYC37" s="299"/>
      <c r="TYD37" s="299"/>
      <c r="TYE37" s="299"/>
      <c r="TYF37" s="299"/>
      <c r="TYG37" s="299"/>
      <c r="TYH37" s="299"/>
      <c r="TYI37" s="299"/>
      <c r="TYJ37" s="299"/>
      <c r="TYK37" s="299"/>
      <c r="TYL37" s="299"/>
      <c r="TYM37" s="299"/>
      <c r="TYN37" s="299"/>
      <c r="TYO37" s="299"/>
      <c r="TYP37" s="299"/>
      <c r="TYQ37" s="299"/>
      <c r="TYR37" s="299"/>
      <c r="TYS37" s="299"/>
      <c r="TYT37" s="299"/>
      <c r="TYU37" s="299"/>
      <c r="TYV37" s="299"/>
      <c r="TYW37" s="299"/>
      <c r="TYX37" s="299"/>
      <c r="TYY37" s="299"/>
      <c r="TYZ37" s="299"/>
      <c r="TZA37" s="299"/>
      <c r="TZB37" s="299"/>
      <c r="TZC37" s="299"/>
      <c r="TZD37" s="299"/>
      <c r="TZE37" s="299"/>
      <c r="TZF37" s="299"/>
      <c r="TZG37" s="299"/>
      <c r="TZH37" s="299"/>
      <c r="TZI37" s="299"/>
      <c r="TZJ37" s="299"/>
      <c r="TZK37" s="299"/>
      <c r="TZL37" s="299"/>
      <c r="TZM37" s="299"/>
      <c r="TZN37" s="299"/>
      <c r="TZO37" s="299"/>
      <c r="TZP37" s="299"/>
      <c r="TZQ37" s="299"/>
      <c r="TZR37" s="299"/>
      <c r="TZS37" s="299"/>
      <c r="TZT37" s="299"/>
      <c r="TZU37" s="299"/>
      <c r="TZV37" s="299"/>
      <c r="TZW37" s="299"/>
      <c r="TZX37" s="299"/>
      <c r="TZY37" s="299"/>
      <c r="TZZ37" s="299"/>
      <c r="UAA37" s="299"/>
      <c r="UAB37" s="299"/>
      <c r="UAC37" s="299"/>
      <c r="UAD37" s="299"/>
      <c r="UAE37" s="299"/>
      <c r="UAF37" s="299"/>
      <c r="UAG37" s="299"/>
      <c r="UAH37" s="299"/>
      <c r="UAI37" s="299"/>
      <c r="UAJ37" s="299"/>
      <c r="UAK37" s="299"/>
      <c r="UAL37" s="299"/>
      <c r="UAM37" s="299"/>
      <c r="UAN37" s="299"/>
      <c r="UAO37" s="299"/>
      <c r="UAP37" s="299"/>
      <c r="UAQ37" s="299"/>
      <c r="UAR37" s="299"/>
      <c r="UAS37" s="299"/>
      <c r="UAT37" s="299"/>
      <c r="UAU37" s="299"/>
      <c r="UAV37" s="299"/>
      <c r="UAW37" s="299"/>
      <c r="UAX37" s="299"/>
      <c r="UAY37" s="299"/>
      <c r="UAZ37" s="299"/>
      <c r="UBA37" s="299"/>
      <c r="UBB37" s="299"/>
      <c r="UBC37" s="299"/>
      <c r="UBD37" s="299"/>
      <c r="UBE37" s="299"/>
      <c r="UBF37" s="299"/>
      <c r="UBG37" s="299"/>
      <c r="UBH37" s="299"/>
      <c r="UBI37" s="299"/>
      <c r="UBJ37" s="299"/>
      <c r="UBK37" s="299"/>
      <c r="UBL37" s="299"/>
      <c r="UBM37" s="299"/>
      <c r="UBN37" s="299"/>
      <c r="UBO37" s="299"/>
      <c r="UBP37" s="299"/>
      <c r="UBQ37" s="299"/>
      <c r="UBR37" s="299"/>
      <c r="UBS37" s="299"/>
      <c r="UBT37" s="299"/>
      <c r="UBU37" s="299"/>
      <c r="UBV37" s="299"/>
      <c r="UBW37" s="299"/>
      <c r="UBX37" s="299"/>
      <c r="UBY37" s="299"/>
      <c r="UBZ37" s="299"/>
      <c r="UCA37" s="299"/>
      <c r="UCB37" s="299"/>
      <c r="UCC37" s="299"/>
      <c r="UCD37" s="299"/>
      <c r="UCE37" s="299"/>
      <c r="UCF37" s="299"/>
      <c r="UCG37" s="299"/>
      <c r="UCH37" s="299"/>
      <c r="UCI37" s="299"/>
      <c r="UCJ37" s="299"/>
      <c r="UCK37" s="299"/>
      <c r="UCL37" s="299"/>
      <c r="UCM37" s="299"/>
      <c r="UCN37" s="299"/>
      <c r="UCO37" s="299"/>
      <c r="UCP37" s="299"/>
      <c r="UCQ37" s="299"/>
      <c r="UCR37" s="299"/>
      <c r="UCS37" s="299"/>
      <c r="UCT37" s="299"/>
      <c r="UCU37" s="299"/>
      <c r="UCV37" s="299"/>
      <c r="UCW37" s="299"/>
      <c r="UCX37" s="299"/>
      <c r="UCY37" s="299"/>
      <c r="UCZ37" s="299"/>
      <c r="UDA37" s="299"/>
      <c r="UDB37" s="299"/>
      <c r="UDC37" s="299"/>
      <c r="UDD37" s="299"/>
      <c r="UDE37" s="299"/>
      <c r="UDF37" s="299"/>
      <c r="UDG37" s="299"/>
      <c r="UDH37" s="299"/>
      <c r="UDI37" s="299"/>
      <c r="UDJ37" s="299"/>
      <c r="UDK37" s="299"/>
      <c r="UDL37" s="299"/>
      <c r="UDM37" s="299"/>
      <c r="UDN37" s="299"/>
      <c r="UDO37" s="299"/>
      <c r="UDP37" s="299"/>
      <c r="UDQ37" s="299"/>
      <c r="UDR37" s="299"/>
      <c r="UDS37" s="299"/>
      <c r="UDT37" s="299"/>
      <c r="UDU37" s="299"/>
      <c r="UDV37" s="299"/>
      <c r="UDW37" s="299"/>
      <c r="UDX37" s="299"/>
      <c r="UDY37" s="299"/>
      <c r="UDZ37" s="299"/>
      <c r="UEA37" s="299"/>
      <c r="UEB37" s="299"/>
      <c r="UEC37" s="299"/>
      <c r="UED37" s="299"/>
      <c r="UEE37" s="299"/>
      <c r="UEF37" s="299"/>
      <c r="UEG37" s="299"/>
      <c r="UEH37" s="299"/>
      <c r="UEI37" s="299"/>
      <c r="UEJ37" s="299"/>
      <c r="UEK37" s="299"/>
      <c r="UEL37" s="299"/>
      <c r="UEM37" s="299"/>
      <c r="UEN37" s="299"/>
      <c r="UEO37" s="299"/>
      <c r="UEP37" s="299"/>
      <c r="UEQ37" s="299"/>
      <c r="UER37" s="299"/>
      <c r="UES37" s="299"/>
      <c r="UET37" s="299"/>
      <c r="UEU37" s="299"/>
      <c r="UEV37" s="299"/>
      <c r="UEW37" s="299"/>
      <c r="UEX37" s="299"/>
      <c r="UEY37" s="299"/>
      <c r="UEZ37" s="299"/>
      <c r="UFA37" s="299"/>
      <c r="UFB37" s="299"/>
      <c r="UFC37" s="299"/>
      <c r="UFD37" s="299"/>
      <c r="UFE37" s="299"/>
      <c r="UFF37" s="299"/>
      <c r="UFG37" s="299"/>
      <c r="UFH37" s="299"/>
      <c r="UFI37" s="299"/>
      <c r="UFJ37" s="299"/>
      <c r="UFK37" s="299"/>
      <c r="UFL37" s="299"/>
      <c r="UFM37" s="299"/>
      <c r="UFN37" s="299"/>
      <c r="UFO37" s="299"/>
      <c r="UFP37" s="299"/>
      <c r="UFQ37" s="299"/>
      <c r="UFR37" s="299"/>
      <c r="UFS37" s="299"/>
      <c r="UFT37" s="299"/>
      <c r="UFU37" s="299"/>
      <c r="UFV37" s="299"/>
      <c r="UFW37" s="299"/>
      <c r="UFX37" s="299"/>
      <c r="UFY37" s="299"/>
      <c r="UFZ37" s="299"/>
      <c r="UGA37" s="299"/>
      <c r="UGB37" s="299"/>
      <c r="UGC37" s="299"/>
      <c r="UGD37" s="299"/>
      <c r="UGE37" s="299"/>
      <c r="UGF37" s="299"/>
      <c r="UGG37" s="299"/>
      <c r="UGH37" s="299"/>
      <c r="UGI37" s="299"/>
      <c r="UGJ37" s="299"/>
      <c r="UGK37" s="299"/>
      <c r="UGL37" s="299"/>
      <c r="UGM37" s="299"/>
      <c r="UGN37" s="299"/>
      <c r="UGO37" s="299"/>
      <c r="UGP37" s="299"/>
      <c r="UGQ37" s="299"/>
      <c r="UGR37" s="299"/>
      <c r="UGS37" s="299"/>
      <c r="UGT37" s="299"/>
      <c r="UGU37" s="299"/>
      <c r="UGV37" s="299"/>
      <c r="UGW37" s="299"/>
      <c r="UGX37" s="299"/>
      <c r="UGY37" s="299"/>
      <c r="UGZ37" s="299"/>
      <c r="UHA37" s="299"/>
      <c r="UHB37" s="299"/>
      <c r="UHC37" s="299"/>
      <c r="UHD37" s="299"/>
      <c r="UHE37" s="299"/>
      <c r="UHF37" s="299"/>
      <c r="UHG37" s="299"/>
      <c r="UHH37" s="299"/>
      <c r="UHI37" s="299"/>
      <c r="UHJ37" s="299"/>
      <c r="UHK37" s="299"/>
      <c r="UHL37" s="299"/>
      <c r="UHM37" s="299"/>
      <c r="UHN37" s="299"/>
      <c r="UHO37" s="299"/>
      <c r="UHP37" s="299"/>
      <c r="UHQ37" s="299"/>
      <c r="UHR37" s="299"/>
      <c r="UHS37" s="299"/>
      <c r="UHT37" s="299"/>
      <c r="UHU37" s="299"/>
      <c r="UHV37" s="299"/>
      <c r="UHW37" s="299"/>
      <c r="UHX37" s="299"/>
      <c r="UHY37" s="299"/>
      <c r="UHZ37" s="299"/>
      <c r="UIA37" s="299"/>
      <c r="UIB37" s="299"/>
      <c r="UIC37" s="299"/>
      <c r="UID37" s="299"/>
      <c r="UIE37" s="299"/>
      <c r="UIF37" s="299"/>
      <c r="UIG37" s="299"/>
      <c r="UIH37" s="299"/>
      <c r="UII37" s="299"/>
      <c r="UIJ37" s="299"/>
      <c r="UIK37" s="299"/>
      <c r="UIL37" s="299"/>
      <c r="UIM37" s="299"/>
      <c r="UIN37" s="299"/>
      <c r="UIO37" s="299"/>
      <c r="UIP37" s="299"/>
      <c r="UIQ37" s="299"/>
      <c r="UIR37" s="299"/>
      <c r="UIS37" s="299"/>
      <c r="UIT37" s="299"/>
      <c r="UIU37" s="299"/>
      <c r="UIV37" s="299"/>
      <c r="UIW37" s="299"/>
      <c r="UIX37" s="299"/>
      <c r="UIY37" s="299"/>
      <c r="UIZ37" s="299"/>
      <c r="UJA37" s="299"/>
      <c r="UJB37" s="299"/>
      <c r="UJC37" s="299"/>
      <c r="UJD37" s="299"/>
      <c r="UJE37" s="299"/>
      <c r="UJF37" s="299"/>
      <c r="UJG37" s="299"/>
      <c r="UJH37" s="299"/>
      <c r="UJI37" s="299"/>
      <c r="UJJ37" s="299"/>
      <c r="UJK37" s="299"/>
      <c r="UJL37" s="299"/>
      <c r="UJM37" s="299"/>
      <c r="UJN37" s="299"/>
      <c r="UJO37" s="299"/>
      <c r="UJP37" s="299"/>
      <c r="UJQ37" s="299"/>
      <c r="UJR37" s="299"/>
      <c r="UJS37" s="299"/>
      <c r="UJT37" s="299"/>
      <c r="UJU37" s="299"/>
      <c r="UJV37" s="299"/>
      <c r="UJW37" s="299"/>
      <c r="UJX37" s="299"/>
      <c r="UJY37" s="299"/>
      <c r="UJZ37" s="299"/>
      <c r="UKA37" s="299"/>
      <c r="UKB37" s="299"/>
      <c r="UKC37" s="299"/>
      <c r="UKD37" s="299"/>
      <c r="UKE37" s="299"/>
      <c r="UKF37" s="299"/>
      <c r="UKG37" s="299"/>
      <c r="UKH37" s="299"/>
      <c r="UKI37" s="299"/>
      <c r="UKJ37" s="299"/>
      <c r="UKK37" s="299"/>
      <c r="UKL37" s="299"/>
      <c r="UKM37" s="299"/>
      <c r="UKN37" s="299"/>
      <c r="UKO37" s="299"/>
      <c r="UKP37" s="299"/>
      <c r="UKQ37" s="299"/>
      <c r="UKR37" s="299"/>
      <c r="UKS37" s="299"/>
      <c r="UKT37" s="299"/>
      <c r="UKU37" s="299"/>
      <c r="UKV37" s="299"/>
      <c r="UKW37" s="299"/>
      <c r="UKX37" s="299"/>
      <c r="UKY37" s="299"/>
      <c r="UKZ37" s="299"/>
      <c r="ULA37" s="299"/>
      <c r="ULB37" s="299"/>
      <c r="ULC37" s="299"/>
      <c r="ULD37" s="299"/>
      <c r="ULE37" s="299"/>
      <c r="ULF37" s="299"/>
      <c r="ULG37" s="299"/>
      <c r="ULH37" s="299"/>
      <c r="ULI37" s="299"/>
      <c r="ULJ37" s="299"/>
      <c r="ULK37" s="299"/>
      <c r="ULL37" s="299"/>
      <c r="ULM37" s="299"/>
      <c r="ULN37" s="299"/>
      <c r="ULO37" s="299"/>
      <c r="ULP37" s="299"/>
      <c r="ULQ37" s="299"/>
      <c r="ULR37" s="299"/>
      <c r="ULS37" s="299"/>
      <c r="ULT37" s="299"/>
      <c r="ULU37" s="299"/>
      <c r="ULV37" s="299"/>
      <c r="ULW37" s="299"/>
      <c r="ULX37" s="299"/>
      <c r="ULY37" s="299"/>
      <c r="ULZ37" s="299"/>
      <c r="UMA37" s="299"/>
      <c r="UMB37" s="299"/>
      <c r="UMC37" s="299"/>
      <c r="UMD37" s="299"/>
      <c r="UME37" s="299"/>
      <c r="UMF37" s="299"/>
      <c r="UMG37" s="299"/>
      <c r="UMH37" s="299"/>
      <c r="UMI37" s="299"/>
      <c r="UMJ37" s="299"/>
      <c r="UMK37" s="299"/>
      <c r="UML37" s="299"/>
      <c r="UMM37" s="299"/>
      <c r="UMN37" s="299"/>
      <c r="UMO37" s="299"/>
      <c r="UMP37" s="299"/>
      <c r="UMQ37" s="299"/>
      <c r="UMR37" s="299"/>
      <c r="UMS37" s="299"/>
      <c r="UMT37" s="299"/>
      <c r="UMU37" s="299"/>
      <c r="UMV37" s="299"/>
      <c r="UMW37" s="299"/>
      <c r="UMX37" s="299"/>
      <c r="UMY37" s="299"/>
      <c r="UMZ37" s="299"/>
      <c r="UNA37" s="299"/>
      <c r="UNB37" s="299"/>
      <c r="UNC37" s="299"/>
      <c r="UND37" s="299"/>
      <c r="UNE37" s="299"/>
      <c r="UNF37" s="299"/>
      <c r="UNG37" s="299"/>
      <c r="UNH37" s="299"/>
      <c r="UNI37" s="299"/>
      <c r="UNJ37" s="299"/>
      <c r="UNK37" s="299"/>
      <c r="UNL37" s="299"/>
      <c r="UNM37" s="299"/>
      <c r="UNN37" s="299"/>
      <c r="UNO37" s="299"/>
      <c r="UNP37" s="299"/>
      <c r="UNQ37" s="299"/>
      <c r="UNR37" s="299"/>
      <c r="UNS37" s="299"/>
      <c r="UNT37" s="299"/>
      <c r="UNU37" s="299"/>
      <c r="UNV37" s="299"/>
      <c r="UNW37" s="299"/>
      <c r="UNX37" s="299"/>
      <c r="UNY37" s="299"/>
      <c r="UNZ37" s="299"/>
      <c r="UOA37" s="299"/>
      <c r="UOB37" s="299"/>
      <c r="UOC37" s="299"/>
      <c r="UOD37" s="299"/>
      <c r="UOE37" s="299"/>
      <c r="UOF37" s="299"/>
      <c r="UOG37" s="299"/>
      <c r="UOH37" s="299"/>
      <c r="UOI37" s="299"/>
      <c r="UOJ37" s="299"/>
      <c r="UOK37" s="299"/>
      <c r="UOL37" s="299"/>
      <c r="UOM37" s="299"/>
      <c r="UON37" s="299"/>
      <c r="UOO37" s="299"/>
      <c r="UOP37" s="299"/>
      <c r="UOQ37" s="299"/>
      <c r="UOR37" s="299"/>
      <c r="UOS37" s="299"/>
      <c r="UOT37" s="299"/>
      <c r="UOU37" s="299"/>
      <c r="UOV37" s="299"/>
      <c r="UOW37" s="299"/>
      <c r="UOX37" s="299"/>
      <c r="UOY37" s="299"/>
      <c r="UOZ37" s="299"/>
      <c r="UPA37" s="299"/>
      <c r="UPB37" s="299"/>
      <c r="UPC37" s="299"/>
      <c r="UPD37" s="299"/>
      <c r="UPE37" s="299"/>
      <c r="UPF37" s="299"/>
      <c r="UPG37" s="299"/>
      <c r="UPH37" s="299"/>
      <c r="UPI37" s="299"/>
      <c r="UPJ37" s="299"/>
      <c r="UPK37" s="299"/>
      <c r="UPL37" s="299"/>
      <c r="UPM37" s="299"/>
      <c r="UPN37" s="299"/>
      <c r="UPO37" s="299"/>
      <c r="UPP37" s="299"/>
      <c r="UPQ37" s="299"/>
      <c r="UPR37" s="299"/>
      <c r="UPS37" s="299"/>
      <c r="UPT37" s="299"/>
      <c r="UPU37" s="299"/>
      <c r="UPV37" s="299"/>
      <c r="UPW37" s="299"/>
      <c r="UPX37" s="299"/>
      <c r="UPY37" s="299"/>
      <c r="UPZ37" s="299"/>
      <c r="UQA37" s="299"/>
      <c r="UQB37" s="299"/>
      <c r="UQC37" s="299"/>
      <c r="UQD37" s="299"/>
      <c r="UQE37" s="299"/>
      <c r="UQF37" s="299"/>
      <c r="UQG37" s="299"/>
      <c r="UQH37" s="299"/>
      <c r="UQI37" s="299"/>
      <c r="UQJ37" s="299"/>
      <c r="UQK37" s="299"/>
      <c r="UQL37" s="299"/>
      <c r="UQM37" s="299"/>
      <c r="UQN37" s="299"/>
      <c r="UQO37" s="299"/>
      <c r="UQP37" s="299"/>
      <c r="UQQ37" s="299"/>
      <c r="UQR37" s="299"/>
      <c r="UQS37" s="299"/>
      <c r="UQT37" s="299"/>
      <c r="UQU37" s="299"/>
      <c r="UQV37" s="299"/>
      <c r="UQW37" s="299"/>
      <c r="UQX37" s="299"/>
      <c r="UQY37" s="299"/>
      <c r="UQZ37" s="299"/>
      <c r="URA37" s="299"/>
      <c r="URB37" s="299"/>
      <c r="URC37" s="299"/>
      <c r="URD37" s="299"/>
      <c r="URE37" s="299"/>
      <c r="URF37" s="299"/>
      <c r="URG37" s="299"/>
      <c r="URH37" s="299"/>
      <c r="URI37" s="299"/>
      <c r="URJ37" s="299"/>
      <c r="URK37" s="299"/>
      <c r="URL37" s="299"/>
      <c r="URM37" s="299"/>
      <c r="URN37" s="299"/>
      <c r="URO37" s="299"/>
      <c r="URP37" s="299"/>
      <c r="URQ37" s="299"/>
      <c r="URR37" s="299"/>
      <c r="URS37" s="299"/>
      <c r="URT37" s="299"/>
      <c r="URU37" s="299"/>
      <c r="URV37" s="299"/>
      <c r="URW37" s="299"/>
      <c r="URX37" s="299"/>
      <c r="URY37" s="299"/>
      <c r="URZ37" s="299"/>
      <c r="USA37" s="299"/>
      <c r="USB37" s="299"/>
      <c r="USC37" s="299"/>
      <c r="USD37" s="299"/>
      <c r="USE37" s="299"/>
      <c r="USF37" s="299"/>
      <c r="USG37" s="299"/>
      <c r="USH37" s="299"/>
      <c r="USI37" s="299"/>
      <c r="USJ37" s="299"/>
      <c r="USK37" s="299"/>
      <c r="USL37" s="299"/>
      <c r="USM37" s="299"/>
      <c r="USN37" s="299"/>
      <c r="USO37" s="299"/>
      <c r="USP37" s="299"/>
      <c r="USQ37" s="299"/>
      <c r="USR37" s="299"/>
      <c r="USS37" s="299"/>
      <c r="UST37" s="299"/>
      <c r="USU37" s="299"/>
      <c r="USV37" s="299"/>
      <c r="USW37" s="299"/>
      <c r="USX37" s="299"/>
      <c r="USY37" s="299"/>
      <c r="USZ37" s="299"/>
      <c r="UTA37" s="299"/>
      <c r="UTB37" s="299"/>
      <c r="UTC37" s="299"/>
      <c r="UTD37" s="299"/>
      <c r="UTE37" s="299"/>
      <c r="UTF37" s="299"/>
      <c r="UTG37" s="299"/>
      <c r="UTH37" s="299"/>
      <c r="UTI37" s="299"/>
      <c r="UTJ37" s="299"/>
      <c r="UTK37" s="299"/>
      <c r="UTL37" s="299"/>
      <c r="UTM37" s="299"/>
      <c r="UTN37" s="299"/>
      <c r="UTO37" s="299"/>
      <c r="UTP37" s="299"/>
      <c r="UTQ37" s="299"/>
      <c r="UTR37" s="299"/>
      <c r="UTS37" s="299"/>
      <c r="UTT37" s="299"/>
      <c r="UTU37" s="299"/>
      <c r="UTV37" s="299"/>
      <c r="UTW37" s="299"/>
      <c r="UTX37" s="299"/>
      <c r="UTY37" s="299"/>
      <c r="UTZ37" s="299"/>
      <c r="UUA37" s="299"/>
      <c r="UUB37" s="299"/>
      <c r="UUC37" s="299"/>
      <c r="UUD37" s="299"/>
      <c r="UUE37" s="299"/>
      <c r="UUF37" s="299"/>
      <c r="UUG37" s="299"/>
      <c r="UUH37" s="299"/>
      <c r="UUI37" s="299"/>
      <c r="UUJ37" s="299"/>
      <c r="UUK37" s="299"/>
      <c r="UUL37" s="299"/>
      <c r="UUM37" s="299"/>
      <c r="UUN37" s="299"/>
      <c r="UUO37" s="299"/>
      <c r="UUP37" s="299"/>
      <c r="UUQ37" s="299"/>
      <c r="UUR37" s="299"/>
      <c r="UUS37" s="299"/>
      <c r="UUT37" s="299"/>
      <c r="UUU37" s="299"/>
      <c r="UUV37" s="299"/>
      <c r="UUW37" s="299"/>
      <c r="UUX37" s="299"/>
      <c r="UUY37" s="299"/>
      <c r="UUZ37" s="299"/>
      <c r="UVA37" s="299"/>
      <c r="UVB37" s="299"/>
      <c r="UVC37" s="299"/>
      <c r="UVD37" s="299"/>
      <c r="UVE37" s="299"/>
      <c r="UVF37" s="299"/>
      <c r="UVG37" s="299"/>
      <c r="UVH37" s="299"/>
      <c r="UVI37" s="299"/>
      <c r="UVJ37" s="299"/>
      <c r="UVK37" s="299"/>
      <c r="UVL37" s="299"/>
      <c r="UVM37" s="299"/>
      <c r="UVN37" s="299"/>
      <c r="UVO37" s="299"/>
      <c r="UVP37" s="299"/>
      <c r="UVQ37" s="299"/>
      <c r="UVR37" s="299"/>
      <c r="UVS37" s="299"/>
      <c r="UVT37" s="299"/>
      <c r="UVU37" s="299"/>
      <c r="UVV37" s="299"/>
      <c r="UVW37" s="299"/>
      <c r="UVX37" s="299"/>
      <c r="UVY37" s="299"/>
      <c r="UVZ37" s="299"/>
      <c r="UWA37" s="299"/>
      <c r="UWB37" s="299"/>
      <c r="UWC37" s="299"/>
      <c r="UWD37" s="299"/>
      <c r="UWE37" s="299"/>
      <c r="UWF37" s="299"/>
      <c r="UWG37" s="299"/>
      <c r="UWH37" s="299"/>
      <c r="UWI37" s="299"/>
      <c r="UWJ37" s="299"/>
      <c r="UWK37" s="299"/>
      <c r="UWL37" s="299"/>
      <c r="UWM37" s="299"/>
      <c r="UWN37" s="299"/>
      <c r="UWO37" s="299"/>
      <c r="UWP37" s="299"/>
      <c r="UWQ37" s="299"/>
      <c r="UWR37" s="299"/>
      <c r="UWS37" s="299"/>
      <c r="UWT37" s="299"/>
      <c r="UWU37" s="299"/>
      <c r="UWV37" s="299"/>
      <c r="UWW37" s="299"/>
      <c r="UWX37" s="299"/>
      <c r="UWY37" s="299"/>
      <c r="UWZ37" s="299"/>
      <c r="UXA37" s="299"/>
      <c r="UXB37" s="299"/>
      <c r="UXC37" s="299"/>
      <c r="UXD37" s="299"/>
      <c r="UXE37" s="299"/>
      <c r="UXF37" s="299"/>
      <c r="UXG37" s="299"/>
      <c r="UXH37" s="299"/>
      <c r="UXI37" s="299"/>
      <c r="UXJ37" s="299"/>
      <c r="UXK37" s="299"/>
      <c r="UXL37" s="299"/>
      <c r="UXM37" s="299"/>
      <c r="UXN37" s="299"/>
      <c r="UXO37" s="299"/>
      <c r="UXP37" s="299"/>
      <c r="UXQ37" s="299"/>
      <c r="UXR37" s="299"/>
      <c r="UXS37" s="299"/>
      <c r="UXT37" s="299"/>
      <c r="UXU37" s="299"/>
      <c r="UXV37" s="299"/>
      <c r="UXW37" s="299"/>
      <c r="UXX37" s="299"/>
      <c r="UXY37" s="299"/>
      <c r="UXZ37" s="299"/>
      <c r="UYA37" s="299"/>
      <c r="UYB37" s="299"/>
      <c r="UYC37" s="299"/>
      <c r="UYD37" s="299"/>
      <c r="UYE37" s="299"/>
      <c r="UYF37" s="299"/>
      <c r="UYG37" s="299"/>
      <c r="UYH37" s="299"/>
      <c r="UYI37" s="299"/>
      <c r="UYJ37" s="299"/>
      <c r="UYK37" s="299"/>
      <c r="UYL37" s="299"/>
      <c r="UYM37" s="299"/>
      <c r="UYN37" s="299"/>
      <c r="UYO37" s="299"/>
      <c r="UYP37" s="299"/>
      <c r="UYQ37" s="299"/>
      <c r="UYR37" s="299"/>
      <c r="UYS37" s="299"/>
      <c r="UYT37" s="299"/>
      <c r="UYU37" s="299"/>
      <c r="UYV37" s="299"/>
      <c r="UYW37" s="299"/>
      <c r="UYX37" s="299"/>
      <c r="UYY37" s="299"/>
      <c r="UYZ37" s="299"/>
      <c r="UZA37" s="299"/>
      <c r="UZB37" s="299"/>
      <c r="UZC37" s="299"/>
      <c r="UZD37" s="299"/>
      <c r="UZE37" s="299"/>
      <c r="UZF37" s="299"/>
      <c r="UZG37" s="299"/>
      <c r="UZH37" s="299"/>
      <c r="UZI37" s="299"/>
      <c r="UZJ37" s="299"/>
      <c r="UZK37" s="299"/>
      <c r="UZL37" s="299"/>
      <c r="UZM37" s="299"/>
      <c r="UZN37" s="299"/>
      <c r="UZO37" s="299"/>
      <c r="UZP37" s="299"/>
      <c r="UZQ37" s="299"/>
      <c r="UZR37" s="299"/>
      <c r="UZS37" s="299"/>
      <c r="UZT37" s="299"/>
      <c r="UZU37" s="299"/>
      <c r="UZV37" s="299"/>
      <c r="UZW37" s="299"/>
      <c r="UZX37" s="299"/>
      <c r="UZY37" s="299"/>
      <c r="UZZ37" s="299"/>
      <c r="VAA37" s="299"/>
      <c r="VAB37" s="299"/>
      <c r="VAC37" s="299"/>
      <c r="VAD37" s="299"/>
      <c r="VAE37" s="299"/>
      <c r="VAF37" s="299"/>
      <c r="VAG37" s="299"/>
      <c r="VAH37" s="299"/>
      <c r="VAI37" s="299"/>
      <c r="VAJ37" s="299"/>
      <c r="VAK37" s="299"/>
      <c r="VAL37" s="299"/>
      <c r="VAM37" s="299"/>
      <c r="VAN37" s="299"/>
      <c r="VAO37" s="299"/>
      <c r="VAP37" s="299"/>
      <c r="VAQ37" s="299"/>
      <c r="VAR37" s="299"/>
      <c r="VAS37" s="299"/>
      <c r="VAT37" s="299"/>
      <c r="VAU37" s="299"/>
      <c r="VAV37" s="299"/>
      <c r="VAW37" s="299"/>
      <c r="VAX37" s="299"/>
      <c r="VAY37" s="299"/>
      <c r="VAZ37" s="299"/>
      <c r="VBA37" s="299"/>
      <c r="VBB37" s="299"/>
      <c r="VBC37" s="299"/>
      <c r="VBD37" s="299"/>
      <c r="VBE37" s="299"/>
      <c r="VBF37" s="299"/>
      <c r="VBG37" s="299"/>
      <c r="VBH37" s="299"/>
      <c r="VBI37" s="299"/>
      <c r="VBJ37" s="299"/>
      <c r="VBK37" s="299"/>
      <c r="VBL37" s="299"/>
      <c r="VBM37" s="299"/>
      <c r="VBN37" s="299"/>
      <c r="VBO37" s="299"/>
      <c r="VBP37" s="299"/>
      <c r="VBQ37" s="299"/>
      <c r="VBR37" s="299"/>
      <c r="VBS37" s="299"/>
      <c r="VBT37" s="299"/>
      <c r="VBU37" s="299"/>
      <c r="VBV37" s="299"/>
      <c r="VBW37" s="299"/>
      <c r="VBX37" s="299"/>
      <c r="VBY37" s="299"/>
      <c r="VBZ37" s="299"/>
      <c r="VCA37" s="299"/>
      <c r="VCB37" s="299"/>
      <c r="VCC37" s="299"/>
      <c r="VCD37" s="299"/>
      <c r="VCE37" s="299"/>
      <c r="VCF37" s="299"/>
      <c r="VCG37" s="299"/>
      <c r="VCH37" s="299"/>
      <c r="VCI37" s="299"/>
      <c r="VCJ37" s="299"/>
      <c r="VCK37" s="299"/>
      <c r="VCL37" s="299"/>
      <c r="VCM37" s="299"/>
      <c r="VCN37" s="299"/>
      <c r="VCO37" s="299"/>
      <c r="VCP37" s="299"/>
      <c r="VCQ37" s="299"/>
      <c r="VCR37" s="299"/>
      <c r="VCS37" s="299"/>
      <c r="VCT37" s="299"/>
      <c r="VCU37" s="299"/>
      <c r="VCV37" s="299"/>
      <c r="VCW37" s="299"/>
      <c r="VCX37" s="299"/>
      <c r="VCY37" s="299"/>
      <c r="VCZ37" s="299"/>
      <c r="VDA37" s="299"/>
      <c r="VDB37" s="299"/>
      <c r="VDC37" s="299"/>
      <c r="VDD37" s="299"/>
      <c r="VDE37" s="299"/>
      <c r="VDF37" s="299"/>
      <c r="VDG37" s="299"/>
      <c r="VDH37" s="299"/>
      <c r="VDI37" s="299"/>
      <c r="VDJ37" s="299"/>
      <c r="VDK37" s="299"/>
      <c r="VDL37" s="299"/>
      <c r="VDM37" s="299"/>
      <c r="VDN37" s="299"/>
      <c r="VDO37" s="299"/>
      <c r="VDP37" s="299"/>
      <c r="VDQ37" s="299"/>
      <c r="VDR37" s="299"/>
      <c r="VDS37" s="299"/>
      <c r="VDT37" s="299"/>
      <c r="VDU37" s="299"/>
      <c r="VDV37" s="299"/>
      <c r="VDW37" s="299"/>
      <c r="VDX37" s="299"/>
      <c r="VDY37" s="299"/>
      <c r="VDZ37" s="299"/>
      <c r="VEA37" s="299"/>
      <c r="VEB37" s="299"/>
      <c r="VEC37" s="299"/>
      <c r="VED37" s="299"/>
      <c r="VEE37" s="299"/>
      <c r="VEF37" s="299"/>
      <c r="VEG37" s="299"/>
      <c r="VEH37" s="299"/>
      <c r="VEI37" s="299"/>
      <c r="VEJ37" s="299"/>
      <c r="VEK37" s="299"/>
      <c r="VEL37" s="299"/>
      <c r="VEM37" s="299"/>
      <c r="VEN37" s="299"/>
      <c r="VEO37" s="299"/>
      <c r="VEP37" s="299"/>
      <c r="VEQ37" s="299"/>
      <c r="VER37" s="299"/>
      <c r="VES37" s="299"/>
      <c r="VET37" s="299"/>
      <c r="VEU37" s="299"/>
      <c r="VEV37" s="299"/>
      <c r="VEW37" s="299"/>
      <c r="VEX37" s="299"/>
      <c r="VEY37" s="299"/>
      <c r="VEZ37" s="299"/>
      <c r="VFA37" s="299"/>
      <c r="VFB37" s="299"/>
      <c r="VFC37" s="299"/>
      <c r="VFD37" s="299"/>
      <c r="VFE37" s="299"/>
      <c r="VFF37" s="299"/>
      <c r="VFG37" s="299"/>
      <c r="VFH37" s="299"/>
      <c r="VFI37" s="299"/>
      <c r="VFJ37" s="299"/>
      <c r="VFK37" s="299"/>
      <c r="VFL37" s="299"/>
      <c r="VFM37" s="299"/>
      <c r="VFN37" s="299"/>
      <c r="VFO37" s="299"/>
      <c r="VFP37" s="299"/>
      <c r="VFQ37" s="299"/>
      <c r="VFR37" s="299"/>
      <c r="VFS37" s="299"/>
      <c r="VFT37" s="299"/>
      <c r="VFU37" s="299"/>
      <c r="VFV37" s="299"/>
      <c r="VFW37" s="299"/>
      <c r="VFX37" s="299"/>
      <c r="VFY37" s="299"/>
      <c r="VFZ37" s="299"/>
      <c r="VGA37" s="299"/>
      <c r="VGB37" s="299"/>
      <c r="VGC37" s="299"/>
      <c r="VGD37" s="299"/>
      <c r="VGE37" s="299"/>
      <c r="VGF37" s="299"/>
      <c r="VGG37" s="299"/>
      <c r="VGH37" s="299"/>
      <c r="VGI37" s="299"/>
      <c r="VGJ37" s="299"/>
      <c r="VGK37" s="299"/>
      <c r="VGL37" s="299"/>
      <c r="VGM37" s="299"/>
      <c r="VGN37" s="299"/>
      <c r="VGO37" s="299"/>
      <c r="VGP37" s="299"/>
      <c r="VGQ37" s="299"/>
      <c r="VGR37" s="299"/>
      <c r="VGS37" s="299"/>
      <c r="VGT37" s="299"/>
      <c r="VGU37" s="299"/>
      <c r="VGV37" s="299"/>
      <c r="VGW37" s="299"/>
      <c r="VGX37" s="299"/>
      <c r="VGY37" s="299"/>
      <c r="VGZ37" s="299"/>
      <c r="VHA37" s="299"/>
      <c r="VHB37" s="299"/>
      <c r="VHC37" s="299"/>
      <c r="VHD37" s="299"/>
      <c r="VHE37" s="299"/>
      <c r="VHF37" s="299"/>
      <c r="VHG37" s="299"/>
      <c r="VHH37" s="299"/>
      <c r="VHI37" s="299"/>
      <c r="VHJ37" s="299"/>
      <c r="VHK37" s="299"/>
      <c r="VHL37" s="299"/>
      <c r="VHM37" s="299"/>
      <c r="VHN37" s="299"/>
      <c r="VHO37" s="299"/>
      <c r="VHP37" s="299"/>
      <c r="VHQ37" s="299"/>
      <c r="VHR37" s="299"/>
      <c r="VHS37" s="299"/>
      <c r="VHT37" s="299"/>
      <c r="VHU37" s="299"/>
      <c r="VHV37" s="299"/>
      <c r="VHW37" s="299"/>
      <c r="VHX37" s="299"/>
      <c r="VHY37" s="299"/>
      <c r="VHZ37" s="299"/>
      <c r="VIA37" s="299"/>
      <c r="VIB37" s="299"/>
      <c r="VIC37" s="299"/>
      <c r="VID37" s="299"/>
      <c r="VIE37" s="299"/>
      <c r="VIF37" s="299"/>
      <c r="VIG37" s="299"/>
      <c r="VIH37" s="299"/>
      <c r="VII37" s="299"/>
      <c r="VIJ37" s="299"/>
      <c r="VIK37" s="299"/>
      <c r="VIL37" s="299"/>
      <c r="VIM37" s="299"/>
      <c r="VIN37" s="299"/>
      <c r="VIO37" s="299"/>
      <c r="VIP37" s="299"/>
      <c r="VIQ37" s="299"/>
      <c r="VIR37" s="299"/>
      <c r="VIS37" s="299"/>
      <c r="VIT37" s="299"/>
      <c r="VIU37" s="299"/>
      <c r="VIV37" s="299"/>
      <c r="VIW37" s="299"/>
      <c r="VIX37" s="299"/>
      <c r="VIY37" s="299"/>
      <c r="VIZ37" s="299"/>
      <c r="VJA37" s="299"/>
      <c r="VJB37" s="299"/>
      <c r="VJC37" s="299"/>
      <c r="VJD37" s="299"/>
      <c r="VJE37" s="299"/>
      <c r="VJF37" s="299"/>
      <c r="VJG37" s="299"/>
      <c r="VJH37" s="299"/>
      <c r="VJI37" s="299"/>
      <c r="VJJ37" s="299"/>
      <c r="VJK37" s="299"/>
      <c r="VJL37" s="299"/>
      <c r="VJM37" s="299"/>
      <c r="VJN37" s="299"/>
      <c r="VJO37" s="299"/>
      <c r="VJP37" s="299"/>
      <c r="VJQ37" s="299"/>
      <c r="VJR37" s="299"/>
      <c r="VJS37" s="299"/>
      <c r="VJT37" s="299"/>
      <c r="VJU37" s="299"/>
      <c r="VJV37" s="299"/>
      <c r="VJW37" s="299"/>
      <c r="VJX37" s="299"/>
      <c r="VJY37" s="299"/>
      <c r="VJZ37" s="299"/>
      <c r="VKA37" s="299"/>
      <c r="VKB37" s="299"/>
      <c r="VKC37" s="299"/>
      <c r="VKD37" s="299"/>
      <c r="VKE37" s="299"/>
      <c r="VKF37" s="299"/>
      <c r="VKG37" s="299"/>
      <c r="VKH37" s="299"/>
      <c r="VKI37" s="299"/>
      <c r="VKJ37" s="299"/>
      <c r="VKK37" s="299"/>
      <c r="VKL37" s="299"/>
      <c r="VKM37" s="299"/>
      <c r="VKN37" s="299"/>
      <c r="VKO37" s="299"/>
      <c r="VKP37" s="299"/>
      <c r="VKQ37" s="299"/>
      <c r="VKR37" s="299"/>
      <c r="VKS37" s="299"/>
      <c r="VKT37" s="299"/>
      <c r="VKU37" s="299"/>
      <c r="VKV37" s="299"/>
      <c r="VKW37" s="299"/>
      <c r="VKX37" s="299"/>
      <c r="VKY37" s="299"/>
      <c r="VKZ37" s="299"/>
      <c r="VLA37" s="299"/>
      <c r="VLB37" s="299"/>
      <c r="VLC37" s="299"/>
      <c r="VLD37" s="299"/>
      <c r="VLE37" s="299"/>
      <c r="VLF37" s="299"/>
      <c r="VLG37" s="299"/>
      <c r="VLH37" s="299"/>
      <c r="VLI37" s="299"/>
      <c r="VLJ37" s="299"/>
      <c r="VLK37" s="299"/>
      <c r="VLL37" s="299"/>
      <c r="VLM37" s="299"/>
      <c r="VLN37" s="299"/>
      <c r="VLO37" s="299"/>
      <c r="VLP37" s="299"/>
      <c r="VLQ37" s="299"/>
      <c r="VLR37" s="299"/>
      <c r="VLS37" s="299"/>
      <c r="VLT37" s="299"/>
      <c r="VLU37" s="299"/>
      <c r="VLV37" s="299"/>
      <c r="VLW37" s="299"/>
      <c r="VLX37" s="299"/>
      <c r="VLY37" s="299"/>
      <c r="VLZ37" s="299"/>
      <c r="VMA37" s="299"/>
      <c r="VMB37" s="299"/>
      <c r="VMC37" s="299"/>
      <c r="VMD37" s="299"/>
      <c r="VME37" s="299"/>
      <c r="VMF37" s="299"/>
      <c r="VMG37" s="299"/>
      <c r="VMH37" s="299"/>
      <c r="VMI37" s="299"/>
      <c r="VMJ37" s="299"/>
      <c r="VMK37" s="299"/>
      <c r="VML37" s="299"/>
      <c r="VMM37" s="299"/>
      <c r="VMN37" s="299"/>
      <c r="VMO37" s="299"/>
      <c r="VMP37" s="299"/>
      <c r="VMQ37" s="299"/>
      <c r="VMR37" s="299"/>
      <c r="VMS37" s="299"/>
      <c r="VMT37" s="299"/>
      <c r="VMU37" s="299"/>
      <c r="VMV37" s="299"/>
      <c r="VMW37" s="299"/>
      <c r="VMX37" s="299"/>
      <c r="VMY37" s="299"/>
      <c r="VMZ37" s="299"/>
      <c r="VNA37" s="299"/>
      <c r="VNB37" s="299"/>
      <c r="VNC37" s="299"/>
      <c r="VND37" s="299"/>
      <c r="VNE37" s="299"/>
      <c r="VNF37" s="299"/>
      <c r="VNG37" s="299"/>
      <c r="VNH37" s="299"/>
      <c r="VNI37" s="299"/>
      <c r="VNJ37" s="299"/>
      <c r="VNK37" s="299"/>
      <c r="VNL37" s="299"/>
      <c r="VNM37" s="299"/>
      <c r="VNN37" s="299"/>
      <c r="VNO37" s="299"/>
      <c r="VNP37" s="299"/>
      <c r="VNQ37" s="299"/>
      <c r="VNR37" s="299"/>
      <c r="VNS37" s="299"/>
      <c r="VNT37" s="299"/>
      <c r="VNU37" s="299"/>
      <c r="VNV37" s="299"/>
      <c r="VNW37" s="299"/>
      <c r="VNX37" s="299"/>
      <c r="VNY37" s="299"/>
      <c r="VNZ37" s="299"/>
      <c r="VOA37" s="299"/>
      <c r="VOB37" s="299"/>
      <c r="VOC37" s="299"/>
      <c r="VOD37" s="299"/>
      <c r="VOE37" s="299"/>
      <c r="VOF37" s="299"/>
      <c r="VOG37" s="299"/>
      <c r="VOH37" s="299"/>
      <c r="VOI37" s="299"/>
      <c r="VOJ37" s="299"/>
      <c r="VOK37" s="299"/>
      <c r="VOL37" s="299"/>
      <c r="VOM37" s="299"/>
      <c r="VON37" s="299"/>
      <c r="VOO37" s="299"/>
      <c r="VOP37" s="299"/>
      <c r="VOQ37" s="299"/>
      <c r="VOR37" s="299"/>
      <c r="VOS37" s="299"/>
      <c r="VOT37" s="299"/>
      <c r="VOU37" s="299"/>
      <c r="VOV37" s="299"/>
      <c r="VOW37" s="299"/>
      <c r="VOX37" s="299"/>
      <c r="VOY37" s="299"/>
      <c r="VOZ37" s="299"/>
      <c r="VPA37" s="299"/>
      <c r="VPB37" s="299"/>
      <c r="VPC37" s="299"/>
      <c r="VPD37" s="299"/>
      <c r="VPE37" s="299"/>
      <c r="VPF37" s="299"/>
      <c r="VPG37" s="299"/>
      <c r="VPH37" s="299"/>
      <c r="VPI37" s="299"/>
      <c r="VPJ37" s="299"/>
      <c r="VPK37" s="299"/>
      <c r="VPL37" s="299"/>
      <c r="VPM37" s="299"/>
      <c r="VPN37" s="299"/>
      <c r="VPO37" s="299"/>
      <c r="VPP37" s="299"/>
      <c r="VPQ37" s="299"/>
      <c r="VPR37" s="299"/>
      <c r="VPS37" s="299"/>
      <c r="VPT37" s="299"/>
      <c r="VPU37" s="299"/>
      <c r="VPV37" s="299"/>
      <c r="VPW37" s="299"/>
      <c r="VPX37" s="299"/>
      <c r="VPY37" s="299"/>
      <c r="VPZ37" s="299"/>
      <c r="VQA37" s="299"/>
      <c r="VQB37" s="299"/>
      <c r="VQC37" s="299"/>
      <c r="VQD37" s="299"/>
      <c r="VQE37" s="299"/>
      <c r="VQF37" s="299"/>
      <c r="VQG37" s="299"/>
      <c r="VQH37" s="299"/>
      <c r="VQI37" s="299"/>
      <c r="VQJ37" s="299"/>
      <c r="VQK37" s="299"/>
      <c r="VQL37" s="299"/>
      <c r="VQM37" s="299"/>
      <c r="VQN37" s="299"/>
      <c r="VQO37" s="299"/>
      <c r="VQP37" s="299"/>
      <c r="VQQ37" s="299"/>
      <c r="VQR37" s="299"/>
      <c r="VQS37" s="299"/>
      <c r="VQT37" s="299"/>
      <c r="VQU37" s="299"/>
      <c r="VQV37" s="299"/>
      <c r="VQW37" s="299"/>
      <c r="VQX37" s="299"/>
      <c r="VQY37" s="299"/>
      <c r="VQZ37" s="299"/>
      <c r="VRA37" s="299"/>
      <c r="VRB37" s="299"/>
      <c r="VRC37" s="299"/>
      <c r="VRD37" s="299"/>
      <c r="VRE37" s="299"/>
      <c r="VRF37" s="299"/>
      <c r="VRG37" s="299"/>
      <c r="VRH37" s="299"/>
      <c r="VRI37" s="299"/>
      <c r="VRJ37" s="299"/>
      <c r="VRK37" s="299"/>
      <c r="VRL37" s="299"/>
      <c r="VRM37" s="299"/>
      <c r="VRN37" s="299"/>
      <c r="VRO37" s="299"/>
      <c r="VRP37" s="299"/>
      <c r="VRQ37" s="299"/>
      <c r="VRR37" s="299"/>
      <c r="VRS37" s="299"/>
      <c r="VRT37" s="299"/>
      <c r="VRU37" s="299"/>
      <c r="VRV37" s="299"/>
      <c r="VRW37" s="299"/>
      <c r="VRX37" s="299"/>
      <c r="VRY37" s="299"/>
      <c r="VRZ37" s="299"/>
      <c r="VSA37" s="299"/>
      <c r="VSB37" s="299"/>
      <c r="VSC37" s="299"/>
      <c r="VSD37" s="299"/>
      <c r="VSE37" s="299"/>
      <c r="VSF37" s="299"/>
      <c r="VSG37" s="299"/>
      <c r="VSH37" s="299"/>
      <c r="VSI37" s="299"/>
      <c r="VSJ37" s="299"/>
      <c r="VSK37" s="299"/>
      <c r="VSL37" s="299"/>
      <c r="VSM37" s="299"/>
      <c r="VSN37" s="299"/>
      <c r="VSO37" s="299"/>
      <c r="VSP37" s="299"/>
      <c r="VSQ37" s="299"/>
      <c r="VSR37" s="299"/>
      <c r="VSS37" s="299"/>
      <c r="VST37" s="299"/>
      <c r="VSU37" s="299"/>
      <c r="VSV37" s="299"/>
      <c r="VSW37" s="299"/>
      <c r="VSX37" s="299"/>
      <c r="VSY37" s="299"/>
      <c r="VSZ37" s="299"/>
      <c r="VTA37" s="299"/>
      <c r="VTB37" s="299"/>
      <c r="VTC37" s="299"/>
      <c r="VTD37" s="299"/>
      <c r="VTE37" s="299"/>
      <c r="VTF37" s="299"/>
      <c r="VTG37" s="299"/>
      <c r="VTH37" s="299"/>
      <c r="VTI37" s="299"/>
      <c r="VTJ37" s="299"/>
      <c r="VTK37" s="299"/>
      <c r="VTL37" s="299"/>
      <c r="VTM37" s="299"/>
      <c r="VTN37" s="299"/>
      <c r="VTO37" s="299"/>
      <c r="VTP37" s="299"/>
      <c r="VTQ37" s="299"/>
      <c r="VTR37" s="299"/>
      <c r="VTS37" s="299"/>
      <c r="VTT37" s="299"/>
      <c r="VTU37" s="299"/>
      <c r="VTV37" s="299"/>
      <c r="VTW37" s="299"/>
      <c r="VTX37" s="299"/>
      <c r="VTY37" s="299"/>
      <c r="VTZ37" s="299"/>
      <c r="VUA37" s="299"/>
      <c r="VUB37" s="299"/>
      <c r="VUC37" s="299"/>
      <c r="VUD37" s="299"/>
      <c r="VUE37" s="299"/>
      <c r="VUF37" s="299"/>
      <c r="VUG37" s="299"/>
      <c r="VUH37" s="299"/>
      <c r="VUI37" s="299"/>
      <c r="VUJ37" s="299"/>
      <c r="VUK37" s="299"/>
      <c r="VUL37" s="299"/>
      <c r="VUM37" s="299"/>
      <c r="VUN37" s="299"/>
      <c r="VUO37" s="299"/>
      <c r="VUP37" s="299"/>
      <c r="VUQ37" s="299"/>
      <c r="VUR37" s="299"/>
      <c r="VUS37" s="299"/>
      <c r="VUT37" s="299"/>
      <c r="VUU37" s="299"/>
      <c r="VUV37" s="299"/>
      <c r="VUW37" s="299"/>
      <c r="VUX37" s="299"/>
      <c r="VUY37" s="299"/>
      <c r="VUZ37" s="299"/>
      <c r="VVA37" s="299"/>
      <c r="VVB37" s="299"/>
      <c r="VVC37" s="299"/>
      <c r="VVD37" s="299"/>
      <c r="VVE37" s="299"/>
      <c r="VVF37" s="299"/>
      <c r="VVG37" s="299"/>
      <c r="VVH37" s="299"/>
      <c r="VVI37" s="299"/>
      <c r="VVJ37" s="299"/>
      <c r="VVK37" s="299"/>
      <c r="VVL37" s="299"/>
      <c r="VVM37" s="299"/>
      <c r="VVN37" s="299"/>
      <c r="VVO37" s="299"/>
      <c r="VVP37" s="299"/>
      <c r="VVQ37" s="299"/>
      <c r="VVR37" s="299"/>
      <c r="VVS37" s="299"/>
      <c r="VVT37" s="299"/>
      <c r="VVU37" s="299"/>
      <c r="VVV37" s="299"/>
      <c r="VVW37" s="299"/>
      <c r="VVX37" s="299"/>
      <c r="VVY37" s="299"/>
      <c r="VVZ37" s="299"/>
      <c r="VWA37" s="299"/>
      <c r="VWB37" s="299"/>
      <c r="VWC37" s="299"/>
      <c r="VWD37" s="299"/>
      <c r="VWE37" s="299"/>
      <c r="VWF37" s="299"/>
      <c r="VWG37" s="299"/>
      <c r="VWH37" s="299"/>
      <c r="VWI37" s="299"/>
      <c r="VWJ37" s="299"/>
      <c r="VWK37" s="299"/>
      <c r="VWL37" s="299"/>
      <c r="VWM37" s="299"/>
      <c r="VWN37" s="299"/>
      <c r="VWO37" s="299"/>
      <c r="VWP37" s="299"/>
      <c r="VWQ37" s="299"/>
      <c r="VWR37" s="299"/>
      <c r="VWS37" s="299"/>
      <c r="VWT37" s="299"/>
      <c r="VWU37" s="299"/>
      <c r="VWV37" s="299"/>
      <c r="VWW37" s="299"/>
      <c r="VWX37" s="299"/>
      <c r="VWY37" s="299"/>
      <c r="VWZ37" s="299"/>
      <c r="VXA37" s="299"/>
      <c r="VXB37" s="299"/>
      <c r="VXC37" s="299"/>
      <c r="VXD37" s="299"/>
      <c r="VXE37" s="299"/>
      <c r="VXF37" s="299"/>
      <c r="VXG37" s="299"/>
      <c r="VXH37" s="299"/>
      <c r="VXI37" s="299"/>
      <c r="VXJ37" s="299"/>
      <c r="VXK37" s="299"/>
      <c r="VXL37" s="299"/>
      <c r="VXM37" s="299"/>
      <c r="VXN37" s="299"/>
      <c r="VXO37" s="299"/>
      <c r="VXP37" s="299"/>
      <c r="VXQ37" s="299"/>
      <c r="VXR37" s="299"/>
      <c r="VXS37" s="299"/>
      <c r="VXT37" s="299"/>
      <c r="VXU37" s="299"/>
      <c r="VXV37" s="299"/>
      <c r="VXW37" s="299"/>
      <c r="VXX37" s="299"/>
      <c r="VXY37" s="299"/>
      <c r="VXZ37" s="299"/>
      <c r="VYA37" s="299"/>
      <c r="VYB37" s="299"/>
      <c r="VYC37" s="299"/>
      <c r="VYD37" s="299"/>
      <c r="VYE37" s="299"/>
      <c r="VYF37" s="299"/>
      <c r="VYG37" s="299"/>
      <c r="VYH37" s="299"/>
      <c r="VYI37" s="299"/>
      <c r="VYJ37" s="299"/>
      <c r="VYK37" s="299"/>
      <c r="VYL37" s="299"/>
      <c r="VYM37" s="299"/>
      <c r="VYN37" s="299"/>
      <c r="VYO37" s="299"/>
      <c r="VYP37" s="299"/>
      <c r="VYQ37" s="299"/>
      <c r="VYR37" s="299"/>
      <c r="VYS37" s="299"/>
      <c r="VYT37" s="299"/>
      <c r="VYU37" s="299"/>
      <c r="VYV37" s="299"/>
      <c r="VYW37" s="299"/>
      <c r="VYX37" s="299"/>
      <c r="VYY37" s="299"/>
      <c r="VYZ37" s="299"/>
      <c r="VZA37" s="299"/>
      <c r="VZB37" s="299"/>
      <c r="VZC37" s="299"/>
      <c r="VZD37" s="299"/>
      <c r="VZE37" s="299"/>
      <c r="VZF37" s="299"/>
      <c r="VZG37" s="299"/>
      <c r="VZH37" s="299"/>
      <c r="VZI37" s="299"/>
      <c r="VZJ37" s="299"/>
      <c r="VZK37" s="299"/>
      <c r="VZL37" s="299"/>
      <c r="VZM37" s="299"/>
      <c r="VZN37" s="299"/>
      <c r="VZO37" s="299"/>
      <c r="VZP37" s="299"/>
      <c r="VZQ37" s="299"/>
      <c r="VZR37" s="299"/>
      <c r="VZS37" s="299"/>
      <c r="VZT37" s="299"/>
      <c r="VZU37" s="299"/>
      <c r="VZV37" s="299"/>
      <c r="VZW37" s="299"/>
      <c r="VZX37" s="299"/>
      <c r="VZY37" s="299"/>
      <c r="VZZ37" s="299"/>
      <c r="WAA37" s="299"/>
      <c r="WAB37" s="299"/>
      <c r="WAC37" s="299"/>
      <c r="WAD37" s="299"/>
      <c r="WAE37" s="299"/>
      <c r="WAF37" s="299"/>
      <c r="WAG37" s="299"/>
      <c r="WAH37" s="299"/>
      <c r="WAI37" s="299"/>
      <c r="WAJ37" s="299"/>
      <c r="WAK37" s="299"/>
      <c r="WAL37" s="299"/>
      <c r="WAM37" s="299"/>
      <c r="WAN37" s="299"/>
      <c r="WAO37" s="299"/>
      <c r="WAP37" s="299"/>
      <c r="WAQ37" s="299"/>
      <c r="WAR37" s="299"/>
      <c r="WAS37" s="299"/>
      <c r="WAT37" s="299"/>
      <c r="WAU37" s="299"/>
      <c r="WAV37" s="299"/>
      <c r="WAW37" s="299"/>
      <c r="WAX37" s="299"/>
      <c r="WAY37" s="299"/>
      <c r="WAZ37" s="299"/>
      <c r="WBA37" s="299"/>
      <c r="WBB37" s="299"/>
      <c r="WBC37" s="299"/>
      <c r="WBD37" s="299"/>
      <c r="WBE37" s="299"/>
      <c r="WBF37" s="299"/>
      <c r="WBG37" s="299"/>
      <c r="WBH37" s="299"/>
      <c r="WBI37" s="299"/>
      <c r="WBJ37" s="299"/>
      <c r="WBK37" s="299"/>
      <c r="WBL37" s="299"/>
      <c r="WBM37" s="299"/>
      <c r="WBN37" s="299"/>
      <c r="WBO37" s="299"/>
      <c r="WBP37" s="299"/>
      <c r="WBQ37" s="299"/>
      <c r="WBR37" s="299"/>
      <c r="WBS37" s="299"/>
      <c r="WBT37" s="299"/>
      <c r="WBU37" s="299"/>
      <c r="WBV37" s="299"/>
      <c r="WBW37" s="299"/>
      <c r="WBX37" s="299"/>
      <c r="WBY37" s="299"/>
      <c r="WBZ37" s="299"/>
      <c r="WCA37" s="299"/>
      <c r="WCB37" s="299"/>
      <c r="WCC37" s="299"/>
      <c r="WCD37" s="299"/>
      <c r="WCE37" s="299"/>
      <c r="WCF37" s="299"/>
      <c r="WCG37" s="299"/>
      <c r="WCH37" s="299"/>
      <c r="WCI37" s="299"/>
      <c r="WCJ37" s="299"/>
      <c r="WCK37" s="299"/>
      <c r="WCL37" s="299"/>
      <c r="WCM37" s="299"/>
      <c r="WCN37" s="299"/>
      <c r="WCO37" s="299"/>
      <c r="WCP37" s="299"/>
      <c r="WCQ37" s="299"/>
      <c r="WCR37" s="299"/>
      <c r="WCS37" s="299"/>
      <c r="WCT37" s="299"/>
      <c r="WCU37" s="299"/>
      <c r="WCV37" s="299"/>
      <c r="WCW37" s="299"/>
      <c r="WCX37" s="299"/>
      <c r="WCY37" s="299"/>
      <c r="WCZ37" s="299"/>
      <c r="WDA37" s="299"/>
      <c r="WDB37" s="299"/>
      <c r="WDC37" s="299"/>
      <c r="WDD37" s="299"/>
      <c r="WDE37" s="299"/>
      <c r="WDF37" s="299"/>
      <c r="WDG37" s="299"/>
      <c r="WDH37" s="299"/>
      <c r="WDI37" s="299"/>
      <c r="WDJ37" s="299"/>
      <c r="WDK37" s="299"/>
      <c r="WDL37" s="299"/>
      <c r="WDM37" s="299"/>
      <c r="WDN37" s="299"/>
      <c r="WDO37" s="299"/>
      <c r="WDP37" s="299"/>
      <c r="WDQ37" s="299"/>
      <c r="WDR37" s="299"/>
      <c r="WDS37" s="299"/>
      <c r="WDT37" s="299"/>
      <c r="WDU37" s="299"/>
      <c r="WDV37" s="299"/>
      <c r="WDW37" s="299"/>
      <c r="WDX37" s="299"/>
      <c r="WDY37" s="299"/>
      <c r="WDZ37" s="299"/>
      <c r="WEA37" s="299"/>
      <c r="WEB37" s="299"/>
      <c r="WEC37" s="299"/>
      <c r="WED37" s="299"/>
      <c r="WEE37" s="299"/>
      <c r="WEF37" s="299"/>
      <c r="WEG37" s="299"/>
      <c r="WEH37" s="299"/>
      <c r="WEI37" s="299"/>
      <c r="WEJ37" s="299"/>
      <c r="WEK37" s="299"/>
      <c r="WEL37" s="299"/>
      <c r="WEM37" s="299"/>
      <c r="WEN37" s="299"/>
      <c r="WEO37" s="299"/>
      <c r="WEP37" s="299"/>
      <c r="WEQ37" s="299"/>
      <c r="WER37" s="299"/>
      <c r="WES37" s="299"/>
      <c r="WET37" s="299"/>
      <c r="WEU37" s="299"/>
      <c r="WEV37" s="299"/>
      <c r="WEW37" s="299"/>
      <c r="WEX37" s="299"/>
      <c r="WEY37" s="299"/>
      <c r="WEZ37" s="299"/>
      <c r="WFA37" s="299"/>
      <c r="WFB37" s="299"/>
      <c r="WFC37" s="299"/>
      <c r="WFD37" s="299"/>
      <c r="WFE37" s="299"/>
      <c r="WFF37" s="299"/>
      <c r="WFG37" s="299"/>
      <c r="WFH37" s="299"/>
      <c r="WFI37" s="299"/>
      <c r="WFJ37" s="299"/>
      <c r="WFK37" s="299"/>
      <c r="WFL37" s="299"/>
      <c r="WFM37" s="299"/>
      <c r="WFN37" s="299"/>
      <c r="WFO37" s="299"/>
      <c r="WFP37" s="299"/>
      <c r="WFQ37" s="299"/>
      <c r="WFR37" s="299"/>
      <c r="WFS37" s="299"/>
      <c r="WFT37" s="299"/>
      <c r="WFU37" s="299"/>
      <c r="WFV37" s="299"/>
      <c r="WFW37" s="299"/>
      <c r="WFX37" s="299"/>
      <c r="WFY37" s="299"/>
      <c r="WFZ37" s="299"/>
      <c r="WGA37" s="299"/>
      <c r="WGB37" s="299"/>
      <c r="WGC37" s="299"/>
      <c r="WGD37" s="299"/>
      <c r="WGE37" s="299"/>
      <c r="WGF37" s="299"/>
      <c r="WGG37" s="299"/>
      <c r="WGH37" s="299"/>
      <c r="WGI37" s="299"/>
      <c r="WGJ37" s="299"/>
      <c r="WGK37" s="299"/>
      <c r="WGL37" s="299"/>
      <c r="WGM37" s="299"/>
      <c r="WGN37" s="299"/>
      <c r="WGO37" s="299"/>
      <c r="WGP37" s="299"/>
      <c r="WGQ37" s="299"/>
      <c r="WGR37" s="299"/>
      <c r="WGS37" s="299"/>
      <c r="WGT37" s="299"/>
      <c r="WGU37" s="299"/>
      <c r="WGV37" s="299"/>
      <c r="WGW37" s="299"/>
      <c r="WGX37" s="299"/>
      <c r="WGY37" s="299"/>
      <c r="WGZ37" s="299"/>
      <c r="WHA37" s="299"/>
      <c r="WHB37" s="299"/>
      <c r="WHC37" s="299"/>
      <c r="WHD37" s="299"/>
      <c r="WHE37" s="299"/>
      <c r="WHF37" s="299"/>
      <c r="WHG37" s="299"/>
      <c r="WHH37" s="299"/>
      <c r="WHI37" s="299"/>
      <c r="WHJ37" s="299"/>
      <c r="WHK37" s="299"/>
      <c r="WHL37" s="299"/>
      <c r="WHM37" s="299"/>
      <c r="WHN37" s="299"/>
      <c r="WHO37" s="299"/>
      <c r="WHP37" s="299"/>
      <c r="WHQ37" s="299"/>
      <c r="WHR37" s="299"/>
      <c r="WHS37" s="299"/>
      <c r="WHT37" s="299"/>
      <c r="WHU37" s="299"/>
      <c r="WHV37" s="299"/>
      <c r="WHW37" s="299"/>
      <c r="WHX37" s="299"/>
      <c r="WHY37" s="299"/>
      <c r="WHZ37" s="299"/>
      <c r="WIA37" s="299"/>
      <c r="WIB37" s="299"/>
      <c r="WIC37" s="299"/>
      <c r="WID37" s="299"/>
      <c r="WIE37" s="299"/>
      <c r="WIF37" s="299"/>
      <c r="WIG37" s="299"/>
      <c r="WIH37" s="299"/>
      <c r="WII37" s="299"/>
      <c r="WIJ37" s="299"/>
      <c r="WIK37" s="299"/>
      <c r="WIL37" s="299"/>
      <c r="WIM37" s="299"/>
      <c r="WIN37" s="299"/>
      <c r="WIO37" s="299"/>
      <c r="WIP37" s="299"/>
      <c r="WIQ37" s="299"/>
      <c r="WIR37" s="299"/>
      <c r="WIS37" s="299"/>
      <c r="WIT37" s="299"/>
      <c r="WIU37" s="299"/>
      <c r="WIV37" s="299"/>
      <c r="WIW37" s="299"/>
      <c r="WIX37" s="299"/>
      <c r="WIY37" s="299"/>
      <c r="WIZ37" s="299"/>
      <c r="WJA37" s="299"/>
      <c r="WJB37" s="299"/>
      <c r="WJC37" s="299"/>
      <c r="WJD37" s="299"/>
      <c r="WJE37" s="299"/>
      <c r="WJF37" s="299"/>
      <c r="WJG37" s="299"/>
      <c r="WJH37" s="299"/>
      <c r="WJI37" s="299"/>
      <c r="WJJ37" s="299"/>
      <c r="WJK37" s="299"/>
      <c r="WJL37" s="299"/>
      <c r="WJM37" s="299"/>
      <c r="WJN37" s="299"/>
      <c r="WJO37" s="299"/>
      <c r="WJP37" s="299"/>
      <c r="WJQ37" s="299"/>
      <c r="WJR37" s="299"/>
      <c r="WJS37" s="299"/>
      <c r="WJT37" s="299"/>
      <c r="WJU37" s="299"/>
      <c r="WJV37" s="299"/>
      <c r="WJW37" s="299"/>
      <c r="WJX37" s="299"/>
      <c r="WJY37" s="299"/>
      <c r="WJZ37" s="299"/>
      <c r="WKA37" s="299"/>
      <c r="WKB37" s="299"/>
      <c r="WKC37" s="299"/>
      <c r="WKD37" s="299"/>
      <c r="WKE37" s="299"/>
      <c r="WKF37" s="299"/>
      <c r="WKG37" s="299"/>
      <c r="WKH37" s="299"/>
      <c r="WKI37" s="299"/>
      <c r="WKJ37" s="299"/>
      <c r="WKK37" s="299"/>
      <c r="WKL37" s="299"/>
      <c r="WKM37" s="299"/>
      <c r="WKN37" s="299"/>
      <c r="WKO37" s="299"/>
      <c r="WKP37" s="299"/>
      <c r="WKQ37" s="299"/>
      <c r="WKR37" s="299"/>
      <c r="WKS37" s="299"/>
      <c r="WKT37" s="299"/>
      <c r="WKU37" s="299"/>
      <c r="WKV37" s="299"/>
      <c r="WKW37" s="299"/>
      <c r="WKX37" s="299"/>
      <c r="WKY37" s="299"/>
      <c r="WKZ37" s="299"/>
      <c r="WLA37" s="299"/>
      <c r="WLB37" s="299"/>
      <c r="WLC37" s="299"/>
      <c r="WLD37" s="299"/>
      <c r="WLE37" s="299"/>
      <c r="WLF37" s="299"/>
      <c r="WLG37" s="299"/>
      <c r="WLH37" s="299"/>
      <c r="WLI37" s="299"/>
      <c r="WLJ37" s="299"/>
      <c r="WLK37" s="299"/>
      <c r="WLL37" s="299"/>
      <c r="WLM37" s="299"/>
      <c r="WLN37" s="299"/>
      <c r="WLO37" s="299"/>
      <c r="WLP37" s="299"/>
      <c r="WLQ37" s="299"/>
      <c r="WLR37" s="299"/>
      <c r="WLS37" s="299"/>
      <c r="WLT37" s="299"/>
      <c r="WLU37" s="299"/>
      <c r="WLV37" s="299"/>
      <c r="WLW37" s="299"/>
      <c r="WLX37" s="299"/>
      <c r="WLY37" s="299"/>
      <c r="WLZ37" s="299"/>
      <c r="WMA37" s="299"/>
      <c r="WMB37" s="299"/>
      <c r="WMC37" s="299"/>
      <c r="WMD37" s="299"/>
      <c r="WME37" s="299"/>
      <c r="WMF37" s="299"/>
      <c r="WMG37" s="299"/>
      <c r="WMH37" s="299"/>
      <c r="WMI37" s="299"/>
      <c r="WMJ37" s="299"/>
      <c r="WMK37" s="299"/>
      <c r="WML37" s="299"/>
      <c r="WMM37" s="299"/>
      <c r="WMN37" s="299"/>
      <c r="WMO37" s="299"/>
      <c r="WMP37" s="299"/>
      <c r="WMQ37" s="299"/>
      <c r="WMR37" s="299"/>
      <c r="WMS37" s="299"/>
      <c r="WMT37" s="299"/>
      <c r="WMU37" s="299"/>
      <c r="WMV37" s="299"/>
      <c r="WMW37" s="299"/>
      <c r="WMX37" s="299"/>
      <c r="WMY37" s="299"/>
      <c r="WMZ37" s="299"/>
      <c r="WNA37" s="299"/>
      <c r="WNB37" s="299"/>
      <c r="WNC37" s="299"/>
      <c r="WND37" s="299"/>
      <c r="WNE37" s="299"/>
      <c r="WNF37" s="299"/>
      <c r="WNG37" s="299"/>
      <c r="WNH37" s="299"/>
      <c r="WNI37" s="299"/>
      <c r="WNJ37" s="299"/>
      <c r="WNK37" s="299"/>
      <c r="WNL37" s="299"/>
      <c r="WNM37" s="299"/>
      <c r="WNN37" s="299"/>
      <c r="WNO37" s="299"/>
      <c r="WNP37" s="299"/>
      <c r="WNQ37" s="299"/>
      <c r="WNR37" s="299"/>
      <c r="WNS37" s="299"/>
      <c r="WNT37" s="299"/>
      <c r="WNU37" s="299"/>
      <c r="WNV37" s="299"/>
      <c r="WNW37" s="299"/>
      <c r="WNX37" s="299"/>
      <c r="WNY37" s="299"/>
      <c r="WNZ37" s="299"/>
      <c r="WOA37" s="299"/>
      <c r="WOB37" s="299"/>
      <c r="WOC37" s="299"/>
      <c r="WOD37" s="299"/>
      <c r="WOE37" s="299"/>
      <c r="WOF37" s="299"/>
      <c r="WOG37" s="299"/>
      <c r="WOH37" s="299"/>
      <c r="WOI37" s="299"/>
      <c r="WOJ37" s="299"/>
      <c r="WOK37" s="299"/>
      <c r="WOL37" s="299"/>
      <c r="WOM37" s="299"/>
      <c r="WON37" s="299"/>
      <c r="WOO37" s="299"/>
      <c r="WOP37" s="299"/>
      <c r="WOQ37" s="299"/>
      <c r="WOR37" s="299"/>
      <c r="WOS37" s="299"/>
      <c r="WOT37" s="299"/>
      <c r="WOU37" s="299"/>
      <c r="WOV37" s="299"/>
      <c r="WOW37" s="299"/>
      <c r="WOX37" s="299"/>
      <c r="WOY37" s="299"/>
      <c r="WOZ37" s="299"/>
      <c r="WPA37" s="299"/>
      <c r="WPB37" s="299"/>
      <c r="WPC37" s="299"/>
      <c r="WPD37" s="299"/>
      <c r="WPE37" s="299"/>
      <c r="WPF37" s="299"/>
      <c r="WPG37" s="299"/>
      <c r="WPH37" s="299"/>
      <c r="WPI37" s="299"/>
      <c r="WPJ37" s="299"/>
      <c r="WPK37" s="299"/>
      <c r="WPL37" s="299"/>
      <c r="WPM37" s="299"/>
      <c r="WPN37" s="299"/>
      <c r="WPO37" s="299"/>
      <c r="WPP37" s="299"/>
      <c r="WPQ37" s="299"/>
      <c r="WPR37" s="299"/>
      <c r="WPS37" s="299"/>
      <c r="WPT37" s="299"/>
      <c r="WPU37" s="299"/>
      <c r="WPV37" s="299"/>
      <c r="WPW37" s="299"/>
      <c r="WPX37" s="299"/>
      <c r="WPY37" s="299"/>
      <c r="WPZ37" s="299"/>
      <c r="WQA37" s="299"/>
      <c r="WQB37" s="299"/>
      <c r="WQC37" s="299"/>
      <c r="WQD37" s="299"/>
      <c r="WQE37" s="299"/>
      <c r="WQF37" s="299"/>
      <c r="WQG37" s="299"/>
      <c r="WQH37" s="299"/>
      <c r="WQI37" s="299"/>
      <c r="WQJ37" s="299"/>
      <c r="WQK37" s="299"/>
      <c r="WQL37" s="299"/>
      <c r="WQM37" s="299"/>
      <c r="WQN37" s="299"/>
      <c r="WQO37" s="299"/>
      <c r="WQP37" s="299"/>
      <c r="WQQ37" s="299"/>
      <c r="WQR37" s="299"/>
      <c r="WQS37" s="299"/>
      <c r="WQT37" s="299"/>
      <c r="WQU37" s="299"/>
      <c r="WQV37" s="299"/>
      <c r="WQW37" s="299"/>
      <c r="WQX37" s="299"/>
      <c r="WQY37" s="299"/>
      <c r="WQZ37" s="299"/>
      <c r="WRA37" s="299"/>
      <c r="WRB37" s="299"/>
      <c r="WRC37" s="299"/>
      <c r="WRD37" s="299"/>
      <c r="WRE37" s="299"/>
      <c r="WRF37" s="299"/>
      <c r="WRG37" s="299"/>
      <c r="WRH37" s="299"/>
      <c r="WRI37" s="299"/>
      <c r="WRJ37" s="299"/>
      <c r="WRK37" s="299"/>
      <c r="WRL37" s="299"/>
      <c r="WRM37" s="299"/>
      <c r="WRN37" s="299"/>
      <c r="WRO37" s="299"/>
      <c r="WRP37" s="299"/>
      <c r="WRQ37" s="299"/>
      <c r="WRR37" s="299"/>
      <c r="WRS37" s="299"/>
      <c r="WRT37" s="299"/>
      <c r="WRU37" s="299"/>
      <c r="WRV37" s="299"/>
      <c r="WRW37" s="299"/>
      <c r="WRX37" s="299"/>
      <c r="WRY37" s="299"/>
      <c r="WRZ37" s="299"/>
      <c r="WSA37" s="299"/>
      <c r="WSB37" s="299"/>
      <c r="WSC37" s="299"/>
      <c r="WSD37" s="299"/>
      <c r="WSE37" s="299"/>
      <c r="WSF37" s="299"/>
      <c r="WSG37" s="299"/>
      <c r="WSH37" s="299"/>
      <c r="WSI37" s="299"/>
      <c r="WSJ37" s="299"/>
      <c r="WSK37" s="299"/>
      <c r="WSL37" s="299"/>
      <c r="WSM37" s="299"/>
      <c r="WSN37" s="299"/>
      <c r="WSO37" s="299"/>
      <c r="WSP37" s="299"/>
      <c r="WSQ37" s="299"/>
      <c r="WSR37" s="299"/>
      <c r="WSS37" s="299"/>
      <c r="WST37" s="299"/>
      <c r="WSU37" s="299"/>
      <c r="WSV37" s="299"/>
      <c r="WSW37" s="299"/>
      <c r="WSX37" s="299"/>
      <c r="WSY37" s="299"/>
      <c r="WSZ37" s="299"/>
      <c r="WTA37" s="299"/>
      <c r="WTB37" s="299"/>
      <c r="WTC37" s="299"/>
      <c r="WTD37" s="299"/>
      <c r="WTE37" s="299"/>
      <c r="WTF37" s="299"/>
      <c r="WTG37" s="299"/>
      <c r="WTH37" s="299"/>
      <c r="WTI37" s="299"/>
      <c r="WTJ37" s="299"/>
      <c r="WTK37" s="299"/>
      <c r="WTL37" s="299"/>
      <c r="WTM37" s="299"/>
      <c r="WTN37" s="299"/>
      <c r="WTO37" s="299"/>
      <c r="WTP37" s="299"/>
      <c r="WTQ37" s="299"/>
      <c r="WTR37" s="299"/>
      <c r="WTS37" s="299"/>
      <c r="WTT37" s="299"/>
      <c r="WTU37" s="299"/>
      <c r="WTV37" s="299"/>
      <c r="WTW37" s="299"/>
      <c r="WTX37" s="299"/>
      <c r="WTY37" s="299"/>
      <c r="WTZ37" s="299"/>
      <c r="WUA37" s="299"/>
      <c r="WUB37" s="299"/>
      <c r="WUC37" s="299"/>
      <c r="WUD37" s="299"/>
      <c r="WUE37" s="299"/>
      <c r="WUF37" s="299"/>
      <c r="WUG37" s="299"/>
      <c r="WUH37" s="299"/>
      <c r="WUI37" s="299"/>
      <c r="WUJ37" s="299"/>
      <c r="WUK37" s="299"/>
      <c r="WUL37" s="299"/>
      <c r="WUM37" s="299"/>
      <c r="WUN37" s="299"/>
      <c r="WUO37" s="299"/>
      <c r="WUP37" s="299"/>
      <c r="WUQ37" s="299"/>
      <c r="WUR37" s="299"/>
      <c r="WUS37" s="299"/>
      <c r="WUT37" s="299"/>
      <c r="WUU37" s="299"/>
      <c r="WUV37" s="299"/>
      <c r="WUW37" s="299"/>
      <c r="WUX37" s="299"/>
      <c r="WUY37" s="299"/>
      <c r="WUZ37" s="299"/>
      <c r="WVA37" s="299"/>
      <c r="WVB37" s="299"/>
      <c r="WVC37" s="299"/>
      <c r="WVD37" s="299"/>
      <c r="WVE37" s="299"/>
      <c r="WVF37" s="299"/>
      <c r="WVG37" s="299"/>
      <c r="WVH37" s="299"/>
      <c r="WVI37" s="299"/>
      <c r="WVJ37" s="299"/>
      <c r="WVK37" s="299"/>
      <c r="WVL37" s="299"/>
      <c r="WVM37" s="299"/>
      <c r="WVN37" s="299"/>
      <c r="WVO37" s="299"/>
      <c r="WVP37" s="299"/>
      <c r="WVQ37" s="299"/>
      <c r="WVR37" s="299"/>
      <c r="WVS37" s="299"/>
      <c r="WVT37" s="299"/>
      <c r="WVU37" s="299"/>
      <c r="WVV37" s="299"/>
      <c r="WVW37" s="299"/>
      <c r="WVX37" s="299"/>
      <c r="WVY37" s="299"/>
      <c r="WVZ37" s="299"/>
      <c r="WWA37" s="299"/>
      <c r="WWB37" s="299"/>
      <c r="WWC37" s="299"/>
      <c r="WWD37" s="299"/>
      <c r="WWE37" s="299"/>
      <c r="WWF37" s="299"/>
      <c r="WWG37" s="299"/>
      <c r="WWH37" s="299"/>
      <c r="WWI37" s="299"/>
      <c r="WWJ37" s="299"/>
      <c r="WWK37" s="299"/>
      <c r="WWL37" s="299"/>
      <c r="WWM37" s="299"/>
      <c r="WWN37" s="299"/>
      <c r="WWO37" s="299"/>
      <c r="WWP37" s="299"/>
      <c r="WWQ37" s="299"/>
      <c r="WWR37" s="299"/>
      <c r="WWS37" s="299"/>
      <c r="WWT37" s="299"/>
      <c r="WWU37" s="299"/>
      <c r="WWV37" s="299"/>
      <c r="WWW37" s="299"/>
      <c r="WWX37" s="299"/>
      <c r="WWY37" s="299"/>
      <c r="WWZ37" s="299"/>
      <c r="WXA37" s="299"/>
      <c r="WXB37" s="299"/>
      <c r="WXC37" s="299"/>
      <c r="WXD37" s="299"/>
      <c r="WXE37" s="299"/>
      <c r="WXF37" s="299"/>
      <c r="WXG37" s="299"/>
      <c r="WXH37" s="299"/>
      <c r="WXI37" s="299"/>
      <c r="WXJ37" s="299"/>
      <c r="WXK37" s="299"/>
      <c r="WXL37" s="299"/>
      <c r="WXM37" s="299"/>
      <c r="WXN37" s="299"/>
      <c r="WXO37" s="299"/>
      <c r="WXP37" s="299"/>
      <c r="WXQ37" s="299"/>
      <c r="WXR37" s="299"/>
      <c r="WXS37" s="299"/>
      <c r="WXT37" s="299"/>
      <c r="WXU37" s="299"/>
      <c r="WXV37" s="299"/>
      <c r="WXW37" s="299"/>
      <c r="WXX37" s="299"/>
      <c r="WXY37" s="299"/>
      <c r="WXZ37" s="299"/>
      <c r="WYA37" s="299"/>
      <c r="WYB37" s="299"/>
      <c r="WYC37" s="299"/>
      <c r="WYD37" s="299"/>
      <c r="WYE37" s="299"/>
      <c r="WYF37" s="299"/>
      <c r="WYG37" s="299"/>
      <c r="WYH37" s="299"/>
      <c r="WYI37" s="299"/>
      <c r="WYJ37" s="299"/>
      <c r="WYK37" s="299"/>
      <c r="WYL37" s="299"/>
      <c r="WYM37" s="299"/>
      <c r="WYN37" s="299"/>
      <c r="WYO37" s="299"/>
      <c r="WYP37" s="299"/>
      <c r="WYQ37" s="299"/>
      <c r="WYR37" s="299"/>
      <c r="WYS37" s="299"/>
      <c r="WYT37" s="299"/>
      <c r="WYU37" s="299"/>
      <c r="WYV37" s="299"/>
      <c r="WYW37" s="299"/>
      <c r="WYX37" s="299"/>
      <c r="WYY37" s="299"/>
      <c r="WYZ37" s="299"/>
      <c r="WZA37" s="299"/>
      <c r="WZB37" s="299"/>
      <c r="WZC37" s="299"/>
      <c r="WZD37" s="299"/>
      <c r="WZE37" s="299"/>
      <c r="WZF37" s="299"/>
      <c r="WZG37" s="299"/>
      <c r="WZH37" s="299"/>
      <c r="WZI37" s="299"/>
      <c r="WZJ37" s="299"/>
      <c r="WZK37" s="299"/>
      <c r="WZL37" s="299"/>
      <c r="WZM37" s="299"/>
      <c r="WZN37" s="299"/>
      <c r="WZO37" s="299"/>
      <c r="WZP37" s="299"/>
      <c r="WZQ37" s="299"/>
      <c r="WZR37" s="299"/>
      <c r="WZS37" s="299"/>
      <c r="WZT37" s="299"/>
      <c r="WZU37" s="299"/>
      <c r="WZV37" s="299"/>
      <c r="WZW37" s="299"/>
      <c r="WZX37" s="299"/>
      <c r="WZY37" s="299"/>
      <c r="WZZ37" s="299"/>
      <c r="XAA37" s="299"/>
      <c r="XAB37" s="299"/>
      <c r="XAC37" s="299"/>
      <c r="XAD37" s="299"/>
      <c r="XAE37" s="299"/>
      <c r="XAF37" s="299"/>
      <c r="XAG37" s="299"/>
      <c r="XAH37" s="299"/>
      <c r="XAI37" s="299"/>
      <c r="XAJ37" s="299"/>
      <c r="XAK37" s="299"/>
      <c r="XAL37" s="299"/>
      <c r="XAM37" s="299"/>
      <c r="XAN37" s="299"/>
      <c r="XAO37" s="299"/>
      <c r="XAP37" s="299"/>
      <c r="XAQ37" s="299"/>
      <c r="XAR37" s="299"/>
      <c r="XAS37" s="299"/>
      <c r="XAT37" s="299"/>
      <c r="XAU37" s="299"/>
      <c r="XAV37" s="299"/>
      <c r="XAW37" s="299"/>
      <c r="XAX37" s="299"/>
      <c r="XAY37" s="299"/>
      <c r="XAZ37" s="299"/>
      <c r="XBA37" s="299"/>
      <c r="XBB37" s="299"/>
      <c r="XBC37" s="299"/>
      <c r="XBD37" s="299"/>
      <c r="XBE37" s="299"/>
      <c r="XBF37" s="299"/>
      <c r="XBG37" s="299"/>
      <c r="XBH37" s="299"/>
      <c r="XBI37" s="299"/>
      <c r="XBJ37" s="299"/>
      <c r="XBK37" s="299"/>
      <c r="XBL37" s="299"/>
      <c r="XBM37" s="299"/>
      <c r="XBN37" s="299"/>
      <c r="XBO37" s="299"/>
      <c r="XBP37" s="299"/>
      <c r="XBQ37" s="299"/>
      <c r="XBR37" s="299"/>
      <c r="XBS37" s="299"/>
      <c r="XBT37" s="299"/>
      <c r="XBU37" s="299"/>
      <c r="XBV37" s="299"/>
      <c r="XBW37" s="299"/>
      <c r="XBX37" s="299"/>
      <c r="XBY37" s="299"/>
      <c r="XBZ37" s="299"/>
      <c r="XCA37" s="299"/>
      <c r="XCB37" s="299"/>
      <c r="XCC37" s="299"/>
      <c r="XCD37" s="299"/>
      <c r="XCE37" s="299"/>
      <c r="XCF37" s="299"/>
      <c r="XCG37" s="299"/>
      <c r="XCH37" s="299"/>
      <c r="XCI37" s="299"/>
      <c r="XCJ37" s="299"/>
      <c r="XCK37" s="299"/>
      <c r="XCL37" s="299"/>
      <c r="XCM37" s="299"/>
      <c r="XCN37" s="299"/>
      <c r="XCO37" s="299"/>
      <c r="XCP37" s="299"/>
      <c r="XCQ37" s="299"/>
      <c r="XCR37" s="299"/>
      <c r="XCS37" s="299"/>
      <c r="XCT37" s="299"/>
      <c r="XCU37" s="299"/>
      <c r="XCV37" s="299"/>
      <c r="XCW37" s="299"/>
      <c r="XCX37" s="299"/>
      <c r="XCY37" s="299"/>
      <c r="XCZ37" s="299"/>
      <c r="XDA37" s="299"/>
      <c r="XDB37" s="299"/>
      <c r="XDC37" s="299"/>
      <c r="XDD37" s="299"/>
      <c r="XDE37" s="299"/>
      <c r="XDF37" s="299"/>
      <c r="XDG37" s="299"/>
      <c r="XDH37" s="299"/>
      <c r="XDI37" s="299"/>
      <c r="XDJ37" s="299"/>
      <c r="XDK37" s="299"/>
      <c r="XDL37" s="299"/>
      <c r="XDM37" s="299"/>
      <c r="XDN37" s="299"/>
      <c r="XDO37" s="299"/>
      <c r="XDP37" s="299"/>
      <c r="XDQ37" s="299"/>
      <c r="XDR37" s="299"/>
      <c r="XDS37" s="299"/>
      <c r="XDT37" s="299"/>
      <c r="XDU37" s="299"/>
      <c r="XDV37" s="299"/>
      <c r="XDW37" s="299"/>
      <c r="XDX37" s="299"/>
      <c r="XDY37" s="299"/>
      <c r="XDZ37" s="299"/>
      <c r="XEA37" s="299"/>
      <c r="XEB37" s="299"/>
      <c r="XEC37" s="299"/>
      <c r="XED37" s="299"/>
      <c r="XEE37" s="299"/>
      <c r="XEF37" s="299"/>
      <c r="XEG37" s="299"/>
      <c r="XEH37" s="299"/>
      <c r="XEI37" s="299"/>
    </row>
    <row r="38" spans="1:16363" ht="15.75" customHeight="1" thickTop="1" thickBot="1" x14ac:dyDescent="0.3">
      <c r="A38" s="299" t="s">
        <v>624</v>
      </c>
      <c r="B38" s="423" t="s">
        <v>604</v>
      </c>
      <c r="C38" s="301" t="s">
        <v>556</v>
      </c>
      <c r="D38" s="325">
        <v>1</v>
      </c>
      <c r="E38" s="325">
        <v>0</v>
      </c>
      <c r="F38" s="479"/>
      <c r="G38" s="552">
        <f>IF($G$11=1,P38,0)</f>
        <v>0.04</v>
      </c>
      <c r="H38" s="372"/>
      <c r="I38" s="399">
        <f>$G$2*G38</f>
        <v>0.52</v>
      </c>
      <c r="J38" s="403">
        <v>375</v>
      </c>
      <c r="K38" s="331">
        <v>0</v>
      </c>
      <c r="L38" s="309">
        <f t="shared" si="0"/>
        <v>0</v>
      </c>
      <c r="M38" s="350" t="s">
        <v>136</v>
      </c>
      <c r="N38" s="479"/>
      <c r="O38" s="344" t="s">
        <v>666</v>
      </c>
      <c r="P38" s="522">
        <v>0.04</v>
      </c>
      <c r="Q38" s="372"/>
      <c r="R38" s="519">
        <f>$P$2*P38</f>
        <v>0.52</v>
      </c>
      <c r="S38" s="403">
        <v>375</v>
      </c>
      <c r="T38" s="331">
        <v>0</v>
      </c>
      <c r="U38" s="309">
        <f t="shared" si="1"/>
        <v>0</v>
      </c>
      <c r="V38" s="350" t="s">
        <v>136</v>
      </c>
      <c r="W38" s="344"/>
      <c r="X38" s="345"/>
      <c r="Y38" s="372"/>
      <c r="Z38" s="534">
        <v>0</v>
      </c>
      <c r="AA38" s="327">
        <v>375</v>
      </c>
      <c r="AB38" s="331">
        <v>0</v>
      </c>
      <c r="AC38" s="309">
        <f t="shared" si="2"/>
        <v>0</v>
      </c>
      <c r="AD38" s="412" t="s">
        <v>136</v>
      </c>
      <c r="AE38" s="341" t="s">
        <v>664</v>
      </c>
      <c r="AF38" s="404">
        <v>0.05</v>
      </c>
      <c r="AG38" s="372"/>
      <c r="AH38" s="424">
        <f>$AF$2*AF38</f>
        <v>0.65</v>
      </c>
      <c r="AI38" s="410">
        <v>375</v>
      </c>
      <c r="AJ38" s="331">
        <v>0</v>
      </c>
      <c r="AK38" s="309">
        <f>AJ38*(43560*AG38)</f>
        <v>0</v>
      </c>
      <c r="AL38" s="350" t="s">
        <v>136</v>
      </c>
      <c r="AM38" s="341" t="s">
        <v>664</v>
      </c>
      <c r="AN38" s="345"/>
      <c r="AO38" s="372"/>
      <c r="AP38" s="538">
        <v>0</v>
      </c>
      <c r="AQ38" s="327">
        <v>375</v>
      </c>
      <c r="AR38" s="331">
        <v>0</v>
      </c>
      <c r="AS38" s="309">
        <f t="shared" si="4"/>
        <v>0</v>
      </c>
      <c r="AT38" s="350" t="s">
        <v>136</v>
      </c>
      <c r="AU38" s="486"/>
    </row>
    <row r="39" spans="1:16363" ht="15.75" customHeight="1" thickTop="1" thickBot="1" x14ac:dyDescent="0.3">
      <c r="A39" s="299" t="s">
        <v>624</v>
      </c>
      <c r="B39" s="423" t="s">
        <v>604</v>
      </c>
      <c r="C39" s="301" t="s">
        <v>556</v>
      </c>
      <c r="D39" s="325">
        <v>1</v>
      </c>
      <c r="E39" s="325">
        <v>1</v>
      </c>
      <c r="F39" s="479"/>
      <c r="G39" s="368"/>
      <c r="H39" s="404">
        <f>IF($H$11=1,Y39,0)</f>
        <v>0</v>
      </c>
      <c r="I39" s="337" t="s">
        <v>136</v>
      </c>
      <c r="J39" s="337" t="s">
        <v>136</v>
      </c>
      <c r="K39" s="493">
        <v>0.44</v>
      </c>
      <c r="L39" s="309">
        <f t="shared" si="0"/>
        <v>0</v>
      </c>
      <c r="M39" s="420">
        <v>1.1299999999999999</v>
      </c>
      <c r="N39" s="479"/>
      <c r="O39" s="344" t="s">
        <v>543</v>
      </c>
      <c r="P39" s="369"/>
      <c r="Q39" s="369"/>
      <c r="R39" s="337" t="s">
        <v>136</v>
      </c>
      <c r="S39" s="337" t="s">
        <v>136</v>
      </c>
      <c r="T39" s="493">
        <v>0.44</v>
      </c>
      <c r="U39" s="309">
        <f t="shared" si="1"/>
        <v>0</v>
      </c>
      <c r="V39" s="420">
        <v>1.1299999999999999</v>
      </c>
      <c r="W39" s="344" t="s">
        <v>666</v>
      </c>
      <c r="X39" s="306"/>
      <c r="Y39" s="404">
        <v>0.05</v>
      </c>
      <c r="Z39" s="365" t="s">
        <v>136</v>
      </c>
      <c r="AA39" s="337" t="s">
        <v>136</v>
      </c>
      <c r="AB39" s="493">
        <v>0.44</v>
      </c>
      <c r="AC39" s="309">
        <f t="shared" si="2"/>
        <v>958.32</v>
      </c>
      <c r="AD39" s="415">
        <v>1.35</v>
      </c>
      <c r="AE39" s="341" t="s">
        <v>664</v>
      </c>
      <c r="AF39" s="345"/>
      <c r="AG39" s="428">
        <v>0</v>
      </c>
      <c r="AH39" s="365" t="s">
        <v>136</v>
      </c>
      <c r="AI39" s="337" t="s">
        <v>136</v>
      </c>
      <c r="AJ39" s="409">
        <v>1</v>
      </c>
      <c r="AK39" s="309">
        <f>AJ39*(43560*AG39)</f>
        <v>0</v>
      </c>
      <c r="AL39" s="420">
        <v>1.35</v>
      </c>
      <c r="AM39" s="341" t="s">
        <v>664</v>
      </c>
      <c r="AN39" s="345"/>
      <c r="AO39" s="428">
        <v>0</v>
      </c>
      <c r="AP39" s="365" t="s">
        <v>136</v>
      </c>
      <c r="AQ39" s="337" t="s">
        <v>136</v>
      </c>
      <c r="AR39" s="493">
        <v>0.25</v>
      </c>
      <c r="AS39" s="309">
        <f t="shared" si="4"/>
        <v>0</v>
      </c>
      <c r="AT39" s="420">
        <v>1.35</v>
      </c>
      <c r="AU39" s="488"/>
    </row>
    <row r="40" spans="1:16363" ht="15.75" customHeight="1" thickTop="1" thickBot="1" x14ac:dyDescent="0.3">
      <c r="A40" s="299" t="s">
        <v>624</v>
      </c>
      <c r="B40" s="524" t="s">
        <v>671</v>
      </c>
      <c r="C40" s="297" t="s">
        <v>672</v>
      </c>
      <c r="D40" s="325">
        <v>1</v>
      </c>
      <c r="E40" s="325">
        <v>0</v>
      </c>
      <c r="F40" s="479"/>
      <c r="G40" s="341"/>
      <c r="H40" s="370"/>
      <c r="I40" s="327" t="s">
        <v>136</v>
      </c>
      <c r="J40" s="515" t="s">
        <v>136</v>
      </c>
      <c r="K40" s="331">
        <v>0</v>
      </c>
      <c r="L40" s="309">
        <f t="shared" si="0"/>
        <v>0</v>
      </c>
      <c r="M40" s="350" t="s">
        <v>136</v>
      </c>
      <c r="N40" s="479"/>
      <c r="O40" s="341"/>
      <c r="P40" s="303"/>
      <c r="Q40" s="370"/>
      <c r="R40" s="327" t="s">
        <v>136</v>
      </c>
      <c r="S40" s="515" t="s">
        <v>136</v>
      </c>
      <c r="T40" s="331">
        <v>0</v>
      </c>
      <c r="U40" s="309">
        <f t="shared" si="1"/>
        <v>0</v>
      </c>
      <c r="V40" s="350" t="s">
        <v>136</v>
      </c>
      <c r="W40" s="341"/>
      <c r="X40" s="303"/>
      <c r="Y40" s="370"/>
      <c r="Z40" s="327" t="s">
        <v>136</v>
      </c>
      <c r="AA40" s="327" t="s">
        <v>136</v>
      </c>
      <c r="AB40" s="523">
        <v>0</v>
      </c>
      <c r="AC40" s="309">
        <f t="shared" si="2"/>
        <v>0</v>
      </c>
      <c r="AD40" s="412" t="s">
        <v>136</v>
      </c>
      <c r="AE40" s="341"/>
      <c r="AF40" s="303"/>
      <c r="AG40" s="370"/>
      <c r="AH40" s="427" t="s">
        <v>136</v>
      </c>
      <c r="AI40" s="515" t="s">
        <v>136</v>
      </c>
      <c r="AJ40" s="331">
        <v>0</v>
      </c>
      <c r="AK40" s="309">
        <f t="shared" ref="AK40" si="6">AJ40*(43560*AG40)</f>
        <v>0</v>
      </c>
      <c r="AL40" s="350" t="s">
        <v>136</v>
      </c>
      <c r="AM40" s="341"/>
      <c r="AN40" s="303"/>
      <c r="AO40" s="370"/>
      <c r="AP40" s="427" t="s">
        <v>136</v>
      </c>
      <c r="AQ40" s="515" t="s">
        <v>136</v>
      </c>
      <c r="AR40" s="331">
        <v>0</v>
      </c>
      <c r="AS40" s="309">
        <f t="shared" si="4"/>
        <v>0</v>
      </c>
      <c r="AT40" s="350" t="s">
        <v>136</v>
      </c>
      <c r="AU40" s="486"/>
    </row>
    <row r="41" spans="1:16363" ht="15.75" customHeight="1" thickTop="1" thickBot="1" x14ac:dyDescent="0.3">
      <c r="A41" s="299" t="s">
        <v>624</v>
      </c>
      <c r="B41" s="524" t="s">
        <v>671</v>
      </c>
      <c r="C41" s="301" t="s">
        <v>672</v>
      </c>
      <c r="D41" s="325">
        <v>1</v>
      </c>
      <c r="E41" s="325">
        <v>1</v>
      </c>
      <c r="F41" s="479"/>
      <c r="G41" s="341"/>
      <c r="H41" s="370"/>
      <c r="I41" s="511" t="s">
        <v>136</v>
      </c>
      <c r="J41" s="337" t="s">
        <v>136</v>
      </c>
      <c r="K41" s="338">
        <v>0</v>
      </c>
      <c r="L41" s="309">
        <f t="shared" si="0"/>
        <v>0</v>
      </c>
      <c r="M41" s="537">
        <v>1.94</v>
      </c>
      <c r="N41" s="479"/>
      <c r="O41" s="341"/>
      <c r="P41" s="303"/>
      <c r="Q41" s="370"/>
      <c r="R41" s="511" t="s">
        <v>136</v>
      </c>
      <c r="S41" s="337" t="s">
        <v>136</v>
      </c>
      <c r="T41" s="338">
        <v>0</v>
      </c>
      <c r="U41" s="309">
        <f t="shared" si="1"/>
        <v>0</v>
      </c>
      <c r="V41" s="530">
        <v>1.94</v>
      </c>
      <c r="W41" s="341"/>
      <c r="X41" s="303"/>
      <c r="Y41" s="370"/>
      <c r="Z41" s="365" t="s">
        <v>136</v>
      </c>
      <c r="AA41" s="337" t="s">
        <v>136</v>
      </c>
      <c r="AB41" s="338">
        <v>0</v>
      </c>
      <c r="AC41" s="309">
        <f t="shared" si="2"/>
        <v>0</v>
      </c>
      <c r="AD41" s="530">
        <v>1.94</v>
      </c>
      <c r="AE41" s="341"/>
      <c r="AF41" s="303"/>
      <c r="AG41" s="370"/>
      <c r="AH41" s="365" t="s">
        <v>136</v>
      </c>
      <c r="AI41" s="337" t="s">
        <v>136</v>
      </c>
      <c r="AJ41" s="508">
        <v>0.44</v>
      </c>
      <c r="AK41" s="309">
        <f t="shared" si="3"/>
        <v>0</v>
      </c>
      <c r="AL41" s="530">
        <v>1.94</v>
      </c>
      <c r="AM41" s="341"/>
      <c r="AN41" s="303"/>
      <c r="AO41" s="428">
        <v>0.05</v>
      </c>
      <c r="AP41" s="365" t="s">
        <v>136</v>
      </c>
      <c r="AQ41" s="337" t="s">
        <v>136</v>
      </c>
      <c r="AR41" s="493">
        <v>0.44</v>
      </c>
      <c r="AS41" s="309">
        <f t="shared" si="4"/>
        <v>958.32</v>
      </c>
      <c r="AT41" s="420">
        <v>1.94</v>
      </c>
      <c r="AU41" s="487"/>
    </row>
    <row r="42" spans="1:16363" s="297" customFormat="1" ht="15.75" customHeight="1" thickTop="1" thickBot="1" x14ac:dyDescent="0.3">
      <c r="A42" s="299" t="s">
        <v>624</v>
      </c>
      <c r="B42" s="423" t="s">
        <v>560</v>
      </c>
      <c r="C42" s="302" t="s">
        <v>561</v>
      </c>
      <c r="D42" s="325">
        <v>1</v>
      </c>
      <c r="E42" s="325">
        <v>0</v>
      </c>
      <c r="F42" s="481"/>
      <c r="G42" s="341"/>
      <c r="H42" s="370"/>
      <c r="I42" s="533">
        <v>0</v>
      </c>
      <c r="J42" s="333">
        <v>225</v>
      </c>
      <c r="K42" s="330">
        <v>0</v>
      </c>
      <c r="L42" s="309">
        <f t="shared" si="0"/>
        <v>0</v>
      </c>
      <c r="M42" s="351" t="s">
        <v>136</v>
      </c>
      <c r="N42" s="481"/>
      <c r="O42" s="341"/>
      <c r="P42" s="303"/>
      <c r="Q42" s="370"/>
      <c r="R42" s="533">
        <v>0</v>
      </c>
      <c r="S42" s="333">
        <v>225</v>
      </c>
      <c r="T42" s="330">
        <v>0</v>
      </c>
      <c r="U42" s="309">
        <f t="shared" si="1"/>
        <v>0</v>
      </c>
      <c r="V42" s="351" t="s">
        <v>136</v>
      </c>
      <c r="W42" s="341"/>
      <c r="X42" s="303"/>
      <c r="Y42" s="370"/>
      <c r="Z42" s="533">
        <v>0</v>
      </c>
      <c r="AA42" s="333">
        <v>225</v>
      </c>
      <c r="AB42" s="330">
        <v>0</v>
      </c>
      <c r="AC42" s="309">
        <f t="shared" si="2"/>
        <v>0</v>
      </c>
      <c r="AD42" s="413" t="s">
        <v>136</v>
      </c>
      <c r="AE42" s="341" t="s">
        <v>543</v>
      </c>
      <c r="AF42" s="404">
        <v>0.08</v>
      </c>
      <c r="AG42" s="370"/>
      <c r="AH42" s="424">
        <f>$AF$2*AF42</f>
        <v>1.04</v>
      </c>
      <c r="AI42" s="410">
        <v>225</v>
      </c>
      <c r="AJ42" s="330">
        <v>0</v>
      </c>
      <c r="AK42" s="309">
        <f t="shared" si="3"/>
        <v>0</v>
      </c>
      <c r="AL42" s="351" t="s">
        <v>136</v>
      </c>
      <c r="AM42" s="341" t="s">
        <v>543</v>
      </c>
      <c r="AN42" s="303"/>
      <c r="AO42" s="370"/>
      <c r="AP42" s="330">
        <v>0</v>
      </c>
      <c r="AQ42" s="333">
        <v>225</v>
      </c>
      <c r="AR42" s="526">
        <v>0</v>
      </c>
      <c r="AS42" s="309">
        <f t="shared" si="4"/>
        <v>0</v>
      </c>
      <c r="AT42" s="351" t="s">
        <v>136</v>
      </c>
      <c r="AU42" s="486"/>
    </row>
    <row r="43" spans="1:16363" s="297" customFormat="1" ht="15.75" customHeight="1" thickTop="1" thickBot="1" x14ac:dyDescent="0.3">
      <c r="A43" s="299" t="s">
        <v>624</v>
      </c>
      <c r="B43" s="423" t="s">
        <v>560</v>
      </c>
      <c r="C43" s="302" t="s">
        <v>561</v>
      </c>
      <c r="D43" s="325">
        <v>1</v>
      </c>
      <c r="E43" s="325">
        <v>1</v>
      </c>
      <c r="F43" s="481"/>
      <c r="G43" s="341"/>
      <c r="H43" s="370"/>
      <c r="I43" s="333" t="s">
        <v>136</v>
      </c>
      <c r="J43" s="333" t="s">
        <v>136</v>
      </c>
      <c r="K43" s="507">
        <v>0.44</v>
      </c>
      <c r="L43" s="309">
        <f t="shared" si="0"/>
        <v>0</v>
      </c>
      <c r="M43" s="351">
        <v>1.1299999999999999</v>
      </c>
      <c r="N43" s="481"/>
      <c r="O43" s="341"/>
      <c r="P43" s="303"/>
      <c r="Q43" s="370"/>
      <c r="R43" s="333" t="s">
        <v>136</v>
      </c>
      <c r="S43" s="333" t="s">
        <v>136</v>
      </c>
      <c r="T43" s="507">
        <v>0.44</v>
      </c>
      <c r="U43" s="309">
        <f t="shared" si="1"/>
        <v>0</v>
      </c>
      <c r="V43" s="333">
        <v>1.1299999999999999</v>
      </c>
      <c r="W43" s="341"/>
      <c r="X43" s="303"/>
      <c r="Y43" s="370"/>
      <c r="Z43" s="333" t="s">
        <v>136</v>
      </c>
      <c r="AA43" s="333" t="s">
        <v>136</v>
      </c>
      <c r="AB43" s="507">
        <v>0.44</v>
      </c>
      <c r="AC43" s="309">
        <f t="shared" si="2"/>
        <v>0</v>
      </c>
      <c r="AD43" s="351">
        <v>1.1299999999999999</v>
      </c>
      <c r="AE43" s="341" t="s">
        <v>543</v>
      </c>
      <c r="AF43" s="303"/>
      <c r="AG43" s="370"/>
      <c r="AH43" s="367" t="s">
        <v>136</v>
      </c>
      <c r="AI43" s="333" t="s">
        <v>136</v>
      </c>
      <c r="AJ43" s="507">
        <v>0.44</v>
      </c>
      <c r="AK43" s="309">
        <f t="shared" si="3"/>
        <v>0</v>
      </c>
      <c r="AL43" s="351">
        <v>1.1299999999999999</v>
      </c>
      <c r="AM43" s="341" t="s">
        <v>543</v>
      </c>
      <c r="AN43" s="303"/>
      <c r="AO43" s="404">
        <v>0.08</v>
      </c>
      <c r="AP43" s="367" t="s">
        <v>136</v>
      </c>
      <c r="AQ43" s="333" t="s">
        <v>136</v>
      </c>
      <c r="AR43" s="525">
        <v>0.25</v>
      </c>
      <c r="AS43" s="309">
        <f t="shared" si="4"/>
        <v>871.2</v>
      </c>
      <c r="AT43" s="422">
        <v>1.1299999999999999</v>
      </c>
      <c r="AU43" s="488"/>
    </row>
    <row r="44" spans="1:16363" s="297" customFormat="1" ht="15.75" customHeight="1" thickTop="1" thickBot="1" x14ac:dyDescent="0.3">
      <c r="A44" s="299" t="s">
        <v>624</v>
      </c>
      <c r="B44" s="423" t="s">
        <v>558</v>
      </c>
      <c r="C44" s="302" t="s">
        <v>559</v>
      </c>
      <c r="D44" s="325">
        <v>1</v>
      </c>
      <c r="E44" s="325">
        <v>0</v>
      </c>
      <c r="F44" s="481"/>
      <c r="G44" s="552">
        <f>IF($G$11=1,P44,0)</f>
        <v>0.08</v>
      </c>
      <c r="H44" s="370"/>
      <c r="I44" s="399">
        <f>$G$2*G44</f>
        <v>1.04</v>
      </c>
      <c r="J44" s="403">
        <v>109.343065693431</v>
      </c>
      <c r="K44" s="339">
        <v>0</v>
      </c>
      <c r="L44" s="309">
        <f t="shared" si="0"/>
        <v>0</v>
      </c>
      <c r="M44" s="348" t="s">
        <v>136</v>
      </c>
      <c r="N44" s="481"/>
      <c r="O44" s="341" t="s">
        <v>543</v>
      </c>
      <c r="P44" s="404">
        <v>0.08</v>
      </c>
      <c r="Q44" s="370"/>
      <c r="R44" s="519">
        <f>$P$2*P44</f>
        <v>1.04</v>
      </c>
      <c r="S44" s="403">
        <v>109.343065693431</v>
      </c>
      <c r="T44" s="339">
        <v>0</v>
      </c>
      <c r="U44" s="309">
        <f t="shared" si="1"/>
        <v>0</v>
      </c>
      <c r="V44" s="348" t="s">
        <v>136</v>
      </c>
      <c r="W44" s="341" t="s">
        <v>543</v>
      </c>
      <c r="X44" s="303"/>
      <c r="Y44" s="370"/>
      <c r="Z44" s="540">
        <v>0</v>
      </c>
      <c r="AA44" s="328">
        <v>109.343065693431</v>
      </c>
      <c r="AB44" s="339">
        <v>0</v>
      </c>
      <c r="AC44" s="309">
        <f t="shared" si="2"/>
        <v>0</v>
      </c>
      <c r="AD44" s="414" t="s">
        <v>136</v>
      </c>
      <c r="AE44" s="341"/>
      <c r="AF44" s="303"/>
      <c r="AG44" s="370"/>
      <c r="AH44" s="339">
        <v>0</v>
      </c>
      <c r="AI44" s="328">
        <v>109.343065693431</v>
      </c>
      <c r="AJ44" s="339">
        <v>0</v>
      </c>
      <c r="AK44" s="309">
        <f t="shared" si="3"/>
        <v>0</v>
      </c>
      <c r="AL44" s="348" t="s">
        <v>136</v>
      </c>
      <c r="AM44" s="341"/>
      <c r="AN44" s="303"/>
      <c r="AO44" s="370"/>
      <c r="AP44" s="339">
        <v>0</v>
      </c>
      <c r="AQ44" s="328">
        <v>109.343065693431</v>
      </c>
      <c r="AR44" s="339">
        <v>0</v>
      </c>
      <c r="AS44" s="309">
        <f t="shared" si="4"/>
        <v>0</v>
      </c>
      <c r="AT44" s="348" t="s">
        <v>136</v>
      </c>
      <c r="AU44" s="486"/>
    </row>
    <row r="45" spans="1:16363" s="297" customFormat="1" ht="15.75" customHeight="1" thickTop="1" thickBot="1" x14ac:dyDescent="0.3">
      <c r="A45" s="299" t="s">
        <v>624</v>
      </c>
      <c r="B45" s="423" t="s">
        <v>558</v>
      </c>
      <c r="C45" s="302" t="s">
        <v>559</v>
      </c>
      <c r="D45" s="325">
        <v>1</v>
      </c>
      <c r="E45" s="325">
        <v>1</v>
      </c>
      <c r="F45" s="481"/>
      <c r="G45" s="341"/>
      <c r="H45" s="404">
        <f>IF($H$11=1,Y45,0)</f>
        <v>0</v>
      </c>
      <c r="I45" s="511" t="s">
        <v>136</v>
      </c>
      <c r="J45" s="337" t="s">
        <v>136</v>
      </c>
      <c r="K45" s="493">
        <v>0.44</v>
      </c>
      <c r="L45" s="309">
        <f t="shared" si="0"/>
        <v>0</v>
      </c>
      <c r="M45" s="415">
        <v>1.1299999999999999</v>
      </c>
      <c r="N45" s="481"/>
      <c r="O45" s="341" t="s">
        <v>543</v>
      </c>
      <c r="P45" s="303"/>
      <c r="Q45" s="370"/>
      <c r="R45" s="511" t="s">
        <v>136</v>
      </c>
      <c r="S45" s="337" t="s">
        <v>136</v>
      </c>
      <c r="T45" s="508">
        <v>0.44</v>
      </c>
      <c r="U45" s="309">
        <f t="shared" si="1"/>
        <v>0</v>
      </c>
      <c r="V45" s="530">
        <v>1.1299999999999999</v>
      </c>
      <c r="W45" s="341" t="s">
        <v>543</v>
      </c>
      <c r="X45" s="303"/>
      <c r="Y45" s="404">
        <v>0.05</v>
      </c>
      <c r="Z45" s="365" t="s">
        <v>136</v>
      </c>
      <c r="AA45" s="337" t="s">
        <v>136</v>
      </c>
      <c r="AB45" s="493">
        <v>0.44</v>
      </c>
      <c r="AC45" s="309">
        <f t="shared" si="2"/>
        <v>958.32</v>
      </c>
      <c r="AD45" s="415">
        <v>1.1299999999999999</v>
      </c>
      <c r="AE45" s="341"/>
      <c r="AF45" s="303"/>
      <c r="AG45" s="370"/>
      <c r="AH45" s="365" t="s">
        <v>136</v>
      </c>
      <c r="AI45" s="337" t="s">
        <v>136</v>
      </c>
      <c r="AJ45" s="508">
        <v>0.44</v>
      </c>
      <c r="AK45" s="309">
        <f t="shared" si="3"/>
        <v>0</v>
      </c>
      <c r="AL45" s="530">
        <v>1.1299999999999999</v>
      </c>
      <c r="AM45" s="341"/>
      <c r="AN45" s="303"/>
      <c r="AO45" s="370"/>
      <c r="AP45" s="365" t="s">
        <v>136</v>
      </c>
      <c r="AQ45" s="337" t="s">
        <v>136</v>
      </c>
      <c r="AR45" s="338">
        <v>0</v>
      </c>
      <c r="AS45" s="309">
        <f t="shared" si="4"/>
        <v>0</v>
      </c>
      <c r="AT45" s="530">
        <v>1.1299999999999999</v>
      </c>
      <c r="AU45" s="487"/>
    </row>
    <row r="46" spans="1:16363" s="297" customFormat="1" ht="15.75" customHeight="1" thickTop="1" thickBot="1" x14ac:dyDescent="0.3">
      <c r="A46" s="299" t="s">
        <v>624</v>
      </c>
      <c r="B46" s="423" t="s">
        <v>605</v>
      </c>
      <c r="C46" s="297" t="s">
        <v>606</v>
      </c>
      <c r="D46" s="325">
        <v>1</v>
      </c>
      <c r="E46" s="325">
        <v>0</v>
      </c>
      <c r="F46" s="481"/>
      <c r="G46" s="552">
        <f>IF($G$11=1,P46,0)</f>
        <v>0.01</v>
      </c>
      <c r="H46" s="370"/>
      <c r="I46" s="399">
        <f>$G$2*G46</f>
        <v>0.13</v>
      </c>
      <c r="J46" s="403">
        <v>300</v>
      </c>
      <c r="K46" s="331">
        <v>0</v>
      </c>
      <c r="L46" s="309">
        <f t="shared" si="0"/>
        <v>0</v>
      </c>
      <c r="M46" s="350" t="s">
        <v>136</v>
      </c>
      <c r="N46" s="481"/>
      <c r="O46" s="341" t="s">
        <v>543</v>
      </c>
      <c r="P46" s="404">
        <v>0.01</v>
      </c>
      <c r="Q46" s="370"/>
      <c r="R46" s="519">
        <f>$P$2*P46</f>
        <v>0.13</v>
      </c>
      <c r="S46" s="403">
        <v>300</v>
      </c>
      <c r="T46" s="331">
        <v>0</v>
      </c>
      <c r="U46" s="309">
        <f t="shared" si="1"/>
        <v>0</v>
      </c>
      <c r="V46" s="350" t="s">
        <v>136</v>
      </c>
      <c r="W46" s="341"/>
      <c r="X46" s="303"/>
      <c r="Y46" s="370"/>
      <c r="Z46" s="540">
        <v>0</v>
      </c>
      <c r="AA46" s="328">
        <v>300</v>
      </c>
      <c r="AB46" s="331">
        <v>0</v>
      </c>
      <c r="AC46" s="309">
        <f t="shared" si="2"/>
        <v>0</v>
      </c>
      <c r="AD46" s="412" t="s">
        <v>136</v>
      </c>
      <c r="AE46" s="341"/>
      <c r="AF46" s="303"/>
      <c r="AG46" s="370"/>
      <c r="AH46" s="538">
        <v>0</v>
      </c>
      <c r="AI46" s="327">
        <v>300</v>
      </c>
      <c r="AJ46" s="331">
        <v>0</v>
      </c>
      <c r="AK46" s="309">
        <f t="shared" si="3"/>
        <v>0</v>
      </c>
      <c r="AL46" s="350" t="s">
        <v>136</v>
      </c>
      <c r="AM46" s="341"/>
      <c r="AN46" s="303"/>
      <c r="AO46" s="370"/>
      <c r="AP46" s="538">
        <v>0</v>
      </c>
      <c r="AQ46" s="327">
        <v>300</v>
      </c>
      <c r="AR46" s="331">
        <v>0</v>
      </c>
      <c r="AS46" s="309">
        <f t="shared" si="4"/>
        <v>0</v>
      </c>
      <c r="AT46" s="350" t="s">
        <v>136</v>
      </c>
      <c r="AU46" s="486"/>
    </row>
    <row r="47" spans="1:16363" s="297" customFormat="1" ht="15.75" customHeight="1" thickTop="1" thickBot="1" x14ac:dyDescent="0.3">
      <c r="A47" s="299" t="s">
        <v>624</v>
      </c>
      <c r="B47" s="423" t="s">
        <v>605</v>
      </c>
      <c r="C47" s="297" t="s">
        <v>606</v>
      </c>
      <c r="D47" s="325">
        <v>1</v>
      </c>
      <c r="E47" s="325">
        <v>1</v>
      </c>
      <c r="F47" s="481"/>
      <c r="G47" s="341"/>
      <c r="H47" s="370"/>
      <c r="I47" s="335" t="s">
        <v>136</v>
      </c>
      <c r="J47" s="335" t="s">
        <v>136</v>
      </c>
      <c r="K47" s="336">
        <v>0</v>
      </c>
      <c r="L47" s="309">
        <f t="shared" si="0"/>
        <v>0</v>
      </c>
      <c r="M47" s="349">
        <v>1.1299999999999999</v>
      </c>
      <c r="N47" s="481"/>
      <c r="O47" s="341" t="s">
        <v>543</v>
      </c>
      <c r="P47" s="303"/>
      <c r="Q47" s="370"/>
      <c r="R47" s="335" t="s">
        <v>136</v>
      </c>
      <c r="S47" s="335" t="s">
        <v>136</v>
      </c>
      <c r="T47" s="336">
        <v>0</v>
      </c>
      <c r="U47" s="309">
        <f t="shared" si="1"/>
        <v>0</v>
      </c>
      <c r="V47" s="329">
        <v>1.1299999999999999</v>
      </c>
      <c r="W47" s="341"/>
      <c r="X47" s="303"/>
      <c r="Y47" s="370"/>
      <c r="Z47" s="335" t="s">
        <v>136</v>
      </c>
      <c r="AA47" s="335" t="s">
        <v>136</v>
      </c>
      <c r="AB47" s="336">
        <v>0</v>
      </c>
      <c r="AC47" s="309">
        <f t="shared" si="2"/>
        <v>0</v>
      </c>
      <c r="AD47" s="411">
        <v>1.1299999999999999</v>
      </c>
      <c r="AE47" s="341"/>
      <c r="AF47" s="303"/>
      <c r="AG47" s="370"/>
      <c r="AH47" s="364" t="s">
        <v>136</v>
      </c>
      <c r="AI47" s="335" t="s">
        <v>136</v>
      </c>
      <c r="AJ47" s="336">
        <v>0</v>
      </c>
      <c r="AK47" s="309">
        <f t="shared" si="3"/>
        <v>0</v>
      </c>
      <c r="AL47" s="329">
        <v>1.1299999999999999</v>
      </c>
      <c r="AM47" s="341"/>
      <c r="AN47" s="303"/>
      <c r="AO47" s="370"/>
      <c r="AP47" s="364" t="s">
        <v>136</v>
      </c>
      <c r="AQ47" s="335" t="s">
        <v>136</v>
      </c>
      <c r="AR47" s="336">
        <v>0</v>
      </c>
      <c r="AS47" s="309">
        <f t="shared" si="4"/>
        <v>0</v>
      </c>
      <c r="AT47" s="329">
        <v>1.1299999999999999</v>
      </c>
      <c r="AU47" s="486"/>
    </row>
    <row r="48" spans="1:16363" s="297" customFormat="1" ht="15.75" customHeight="1" thickTop="1" thickBot="1" x14ac:dyDescent="0.3">
      <c r="A48" s="299" t="s">
        <v>624</v>
      </c>
      <c r="B48" s="423" t="s">
        <v>562</v>
      </c>
      <c r="C48" s="301" t="s">
        <v>563</v>
      </c>
      <c r="D48" s="325">
        <v>1</v>
      </c>
      <c r="E48" s="325">
        <v>0</v>
      </c>
      <c r="F48" s="481"/>
      <c r="G48" s="344"/>
      <c r="H48" s="372"/>
      <c r="I48" s="327" t="s">
        <v>136</v>
      </c>
      <c r="J48" s="327">
        <v>1200</v>
      </c>
      <c r="K48" s="331">
        <v>0</v>
      </c>
      <c r="L48" s="309">
        <f t="shared" si="0"/>
        <v>0</v>
      </c>
      <c r="M48" s="350" t="s">
        <v>136</v>
      </c>
      <c r="N48" s="481"/>
      <c r="O48" s="344"/>
      <c r="P48" s="345"/>
      <c r="Q48" s="372"/>
      <c r="R48" s="327" t="s">
        <v>136</v>
      </c>
      <c r="S48" s="327">
        <v>1200</v>
      </c>
      <c r="T48" s="331">
        <v>0</v>
      </c>
      <c r="U48" s="309">
        <f t="shared" si="1"/>
        <v>0</v>
      </c>
      <c r="V48" s="350" t="s">
        <v>136</v>
      </c>
      <c r="W48" s="344"/>
      <c r="X48" s="345"/>
      <c r="Y48" s="372"/>
      <c r="Z48" s="327" t="s">
        <v>136</v>
      </c>
      <c r="AA48" s="327">
        <v>1200</v>
      </c>
      <c r="AB48" s="331">
        <v>0</v>
      </c>
      <c r="AC48" s="309">
        <f t="shared" si="2"/>
        <v>0</v>
      </c>
      <c r="AD48" s="412" t="s">
        <v>136</v>
      </c>
      <c r="AE48" s="344" t="s">
        <v>543</v>
      </c>
      <c r="AF48" s="345"/>
      <c r="AG48" s="372"/>
      <c r="AH48" s="427" t="s">
        <v>136</v>
      </c>
      <c r="AI48" s="529">
        <v>1200</v>
      </c>
      <c r="AJ48" s="331">
        <v>0</v>
      </c>
      <c r="AK48" s="309">
        <f t="shared" si="3"/>
        <v>0</v>
      </c>
      <c r="AL48" s="350" t="s">
        <v>136</v>
      </c>
      <c r="AM48" s="344"/>
      <c r="AN48" s="345"/>
      <c r="AO48" s="372"/>
      <c r="AP48" s="427" t="s">
        <v>136</v>
      </c>
      <c r="AQ48" s="327" t="s">
        <v>136</v>
      </c>
      <c r="AR48" s="331">
        <v>0</v>
      </c>
      <c r="AS48" s="309">
        <f t="shared" si="4"/>
        <v>0</v>
      </c>
      <c r="AT48" s="350" t="s">
        <v>136</v>
      </c>
      <c r="AU48" s="486"/>
    </row>
    <row r="49" spans="1:47" ht="15.75" customHeight="1" thickTop="1" thickBot="1" x14ac:dyDescent="0.3">
      <c r="A49" s="299" t="s">
        <v>624</v>
      </c>
      <c r="B49" s="423" t="s">
        <v>562</v>
      </c>
      <c r="C49" s="301" t="s">
        <v>563</v>
      </c>
      <c r="D49" s="325">
        <v>1</v>
      </c>
      <c r="E49" s="325">
        <v>1</v>
      </c>
      <c r="F49" s="479"/>
      <c r="G49" s="344"/>
      <c r="H49" s="372"/>
      <c r="I49" s="511" t="s">
        <v>136</v>
      </c>
      <c r="J49" s="337" t="s">
        <v>136</v>
      </c>
      <c r="K49" s="338">
        <v>0</v>
      </c>
      <c r="L49" s="309">
        <f t="shared" si="0"/>
        <v>0</v>
      </c>
      <c r="M49" s="537">
        <v>1.1299999999999999</v>
      </c>
      <c r="N49" s="479"/>
      <c r="O49" s="344"/>
      <c r="P49" s="345"/>
      <c r="Q49" s="372"/>
      <c r="R49" s="511" t="s">
        <v>136</v>
      </c>
      <c r="S49" s="337" t="s">
        <v>136</v>
      </c>
      <c r="T49" s="338">
        <v>0</v>
      </c>
      <c r="U49" s="309">
        <f t="shared" si="1"/>
        <v>0</v>
      </c>
      <c r="V49" s="530">
        <v>1.1299999999999999</v>
      </c>
      <c r="W49" s="344"/>
      <c r="X49" s="345"/>
      <c r="Y49" s="372"/>
      <c r="Z49" s="365" t="s">
        <v>136</v>
      </c>
      <c r="AA49" s="337" t="s">
        <v>136</v>
      </c>
      <c r="AB49" s="338">
        <v>0</v>
      </c>
      <c r="AC49" s="309">
        <f t="shared" si="2"/>
        <v>0</v>
      </c>
      <c r="AD49" s="530">
        <v>1.1299999999999999</v>
      </c>
      <c r="AE49" s="344" t="s">
        <v>543</v>
      </c>
      <c r="AF49" s="345"/>
      <c r="AG49" s="428">
        <v>0</v>
      </c>
      <c r="AH49" s="365" t="s">
        <v>136</v>
      </c>
      <c r="AI49" s="337" t="s">
        <v>136</v>
      </c>
      <c r="AJ49" s="409">
        <v>1</v>
      </c>
      <c r="AK49" s="309">
        <f t="shared" si="3"/>
        <v>0</v>
      </c>
      <c r="AL49" s="420">
        <v>1.1299999999999999</v>
      </c>
      <c r="AM49" s="344" t="s">
        <v>665</v>
      </c>
      <c r="AN49" s="345"/>
      <c r="AO49" s="428">
        <v>0.02</v>
      </c>
      <c r="AP49" s="365" t="s">
        <v>136</v>
      </c>
      <c r="AQ49" s="337" t="s">
        <v>136</v>
      </c>
      <c r="AR49" s="493">
        <v>0.44</v>
      </c>
      <c r="AS49" s="309">
        <f t="shared" si="4"/>
        <v>383.32800000000003</v>
      </c>
      <c r="AT49" s="420">
        <v>1.1299999999999999</v>
      </c>
      <c r="AU49" s="488"/>
    </row>
    <row r="50" spans="1:47" ht="15.75" customHeight="1" thickTop="1" thickBot="1" x14ac:dyDescent="0.3">
      <c r="A50" s="299" t="s">
        <v>624</v>
      </c>
      <c r="B50" s="423" t="s">
        <v>564</v>
      </c>
      <c r="C50" s="297" t="s">
        <v>565</v>
      </c>
      <c r="D50" s="325">
        <v>1</v>
      </c>
      <c r="E50" s="325">
        <v>0</v>
      </c>
      <c r="F50" s="479"/>
      <c r="G50" s="344"/>
      <c r="H50" s="372"/>
      <c r="I50" s="533">
        <v>0</v>
      </c>
      <c r="J50" s="333">
        <v>600</v>
      </c>
      <c r="K50" s="330">
        <v>0</v>
      </c>
      <c r="L50" s="309">
        <f t="shared" si="0"/>
        <v>0</v>
      </c>
      <c r="M50" s="351" t="s">
        <v>136</v>
      </c>
      <c r="N50" s="479"/>
      <c r="O50" s="344"/>
      <c r="P50" s="345"/>
      <c r="Q50" s="372"/>
      <c r="R50" s="533">
        <v>0</v>
      </c>
      <c r="S50" s="333">
        <v>600</v>
      </c>
      <c r="T50" s="330">
        <v>0</v>
      </c>
      <c r="U50" s="309">
        <f t="shared" si="1"/>
        <v>0</v>
      </c>
      <c r="V50" s="351" t="s">
        <v>136</v>
      </c>
      <c r="W50" s="344"/>
      <c r="X50" s="345"/>
      <c r="Y50" s="372"/>
      <c r="Z50" s="333" t="s">
        <v>136</v>
      </c>
      <c r="AA50" s="333" t="s">
        <v>136</v>
      </c>
      <c r="AB50" s="330">
        <v>0</v>
      </c>
      <c r="AC50" s="309">
        <f t="shared" si="2"/>
        <v>0</v>
      </c>
      <c r="AD50" s="413" t="s">
        <v>136</v>
      </c>
      <c r="AE50" s="344" t="s">
        <v>543</v>
      </c>
      <c r="AF50" s="404">
        <v>0.01</v>
      </c>
      <c r="AG50" s="372"/>
      <c r="AH50" s="424">
        <f>$AF$2*AF50</f>
        <v>0.13</v>
      </c>
      <c r="AI50" s="410">
        <v>600</v>
      </c>
      <c r="AJ50" s="330">
        <v>0</v>
      </c>
      <c r="AK50" s="309">
        <f t="shared" si="3"/>
        <v>0</v>
      </c>
      <c r="AL50" s="351" t="s">
        <v>136</v>
      </c>
      <c r="AM50" s="344" t="s">
        <v>543</v>
      </c>
      <c r="AN50" s="345"/>
      <c r="AO50" s="372"/>
      <c r="AP50" s="330">
        <v>0</v>
      </c>
      <c r="AQ50" s="333">
        <v>600</v>
      </c>
      <c r="AR50" s="330">
        <v>0</v>
      </c>
      <c r="AS50" s="309">
        <f t="shared" si="4"/>
        <v>0</v>
      </c>
      <c r="AT50" s="351" t="s">
        <v>136</v>
      </c>
      <c r="AU50" s="486"/>
    </row>
    <row r="51" spans="1:47" s="297" customFormat="1" ht="15.75" customHeight="1" thickTop="1" thickBot="1" x14ac:dyDescent="0.3">
      <c r="A51" s="299" t="s">
        <v>624</v>
      </c>
      <c r="B51" s="423" t="s">
        <v>564</v>
      </c>
      <c r="C51" s="297" t="s">
        <v>565</v>
      </c>
      <c r="D51" s="325">
        <v>1</v>
      </c>
      <c r="E51" s="325">
        <v>1</v>
      </c>
      <c r="F51" s="481"/>
      <c r="G51" s="344"/>
      <c r="H51" s="372"/>
      <c r="I51" s="333" t="s">
        <v>136</v>
      </c>
      <c r="J51" s="333" t="s">
        <v>136</v>
      </c>
      <c r="K51" s="330">
        <v>1</v>
      </c>
      <c r="L51" s="309">
        <f t="shared" si="0"/>
        <v>0</v>
      </c>
      <c r="M51" s="351">
        <v>1.1299999999999999</v>
      </c>
      <c r="N51" s="481"/>
      <c r="O51" s="344"/>
      <c r="P51" s="345"/>
      <c r="Q51" s="372"/>
      <c r="R51" s="333" t="s">
        <v>136</v>
      </c>
      <c r="S51" s="333" t="s">
        <v>136</v>
      </c>
      <c r="T51" s="330">
        <v>1</v>
      </c>
      <c r="U51" s="309">
        <f t="shared" ref="U51" si="7">T51*(43560*Q51)</f>
        <v>0</v>
      </c>
      <c r="V51" s="333">
        <v>1.1299999999999999</v>
      </c>
      <c r="W51" s="344"/>
      <c r="X51" s="345"/>
      <c r="Y51" s="372"/>
      <c r="Z51" s="333" t="s">
        <v>136</v>
      </c>
      <c r="AA51" s="333" t="s">
        <v>136</v>
      </c>
      <c r="AB51" s="340">
        <v>1</v>
      </c>
      <c r="AC51" s="309">
        <f t="shared" si="2"/>
        <v>0</v>
      </c>
      <c r="AD51" s="413">
        <v>1.1299999999999999</v>
      </c>
      <c r="AE51" s="344" t="s">
        <v>543</v>
      </c>
      <c r="AF51" s="345"/>
      <c r="AG51" s="372"/>
      <c r="AH51" s="367" t="s">
        <v>136</v>
      </c>
      <c r="AI51" s="333" t="s">
        <v>136</v>
      </c>
      <c r="AJ51" s="340">
        <v>1</v>
      </c>
      <c r="AK51" s="309">
        <f t="shared" si="3"/>
        <v>0</v>
      </c>
      <c r="AL51" s="333">
        <v>1.1299999999999999</v>
      </c>
      <c r="AM51" s="344" t="s">
        <v>665</v>
      </c>
      <c r="AN51" s="345"/>
      <c r="AO51" s="404">
        <v>0.02</v>
      </c>
      <c r="AP51" s="367" t="s">
        <v>136</v>
      </c>
      <c r="AQ51" s="333" t="s">
        <v>136</v>
      </c>
      <c r="AR51" s="525">
        <v>0.44</v>
      </c>
      <c r="AS51" s="309">
        <f t="shared" si="4"/>
        <v>383.32800000000003</v>
      </c>
      <c r="AT51" s="422">
        <v>1.1299999999999999</v>
      </c>
      <c r="AU51" s="488"/>
    </row>
    <row r="52" spans="1:47" s="297" customFormat="1" ht="15.75" customHeight="1" thickTop="1" x14ac:dyDescent="0.25">
      <c r="A52" s="299" t="s">
        <v>624</v>
      </c>
      <c r="B52" s="423" t="s">
        <v>607</v>
      </c>
      <c r="C52" s="297" t="s">
        <v>616</v>
      </c>
      <c r="D52" s="325">
        <v>1</v>
      </c>
      <c r="E52" s="325">
        <v>0</v>
      </c>
      <c r="F52" s="481"/>
      <c r="G52" s="344"/>
      <c r="H52" s="372"/>
      <c r="I52" s="327" t="s">
        <v>136</v>
      </c>
      <c r="J52" s="327">
        <v>450</v>
      </c>
      <c r="K52" s="331">
        <v>0</v>
      </c>
      <c r="L52" s="309">
        <f t="shared" si="0"/>
        <v>0</v>
      </c>
      <c r="M52" s="350" t="s">
        <v>136</v>
      </c>
      <c r="N52" s="481"/>
      <c r="O52" s="344"/>
      <c r="P52" s="345"/>
      <c r="Q52" s="372"/>
      <c r="R52" s="327" t="s">
        <v>136</v>
      </c>
      <c r="S52" s="327">
        <v>450</v>
      </c>
      <c r="T52" s="331">
        <v>0</v>
      </c>
      <c r="U52" s="309">
        <f t="shared" si="1"/>
        <v>0</v>
      </c>
      <c r="V52" s="350" t="s">
        <v>136</v>
      </c>
      <c r="W52" s="344"/>
      <c r="X52" s="345"/>
      <c r="Y52" s="372"/>
      <c r="Z52" s="327" t="s">
        <v>136</v>
      </c>
      <c r="AA52" s="327">
        <v>450</v>
      </c>
      <c r="AB52" s="331">
        <v>0</v>
      </c>
      <c r="AC52" s="309">
        <f t="shared" si="2"/>
        <v>0</v>
      </c>
      <c r="AD52" s="412" t="s">
        <v>136</v>
      </c>
      <c r="AE52" s="344"/>
      <c r="AF52" s="345"/>
      <c r="AG52" s="372"/>
      <c r="AH52" s="427" t="s">
        <v>136</v>
      </c>
      <c r="AI52" s="327">
        <v>450</v>
      </c>
      <c r="AJ52" s="331">
        <v>0</v>
      </c>
      <c r="AK52" s="309">
        <f t="shared" si="3"/>
        <v>0</v>
      </c>
      <c r="AL52" s="350" t="s">
        <v>136</v>
      </c>
      <c r="AM52" s="344"/>
      <c r="AN52" s="345"/>
      <c r="AO52" s="372"/>
      <c r="AP52" s="427" t="s">
        <v>136</v>
      </c>
      <c r="AQ52" s="327">
        <v>450</v>
      </c>
      <c r="AR52" s="331">
        <v>0</v>
      </c>
      <c r="AS52" s="309">
        <f t="shared" si="4"/>
        <v>0</v>
      </c>
      <c r="AT52" s="350" t="s">
        <v>136</v>
      </c>
      <c r="AU52" s="486"/>
    </row>
    <row r="53" spans="1:47" s="297" customFormat="1" ht="15.75" customHeight="1" thickBot="1" x14ac:dyDescent="0.3">
      <c r="A53" s="299" t="s">
        <v>624</v>
      </c>
      <c r="B53" s="423" t="s">
        <v>607</v>
      </c>
      <c r="C53" s="297" t="s">
        <v>616</v>
      </c>
      <c r="D53" s="325">
        <v>1</v>
      </c>
      <c r="E53" s="325">
        <v>1</v>
      </c>
      <c r="F53" s="481"/>
      <c r="G53" s="344"/>
      <c r="H53" s="372"/>
      <c r="I53" s="335" t="s">
        <v>136</v>
      </c>
      <c r="J53" s="335" t="s">
        <v>136</v>
      </c>
      <c r="K53" s="510">
        <v>0.44</v>
      </c>
      <c r="L53" s="309">
        <f t="shared" si="0"/>
        <v>0</v>
      </c>
      <c r="M53" s="349">
        <v>1.21</v>
      </c>
      <c r="N53" s="481"/>
      <c r="O53" s="344"/>
      <c r="P53" s="345"/>
      <c r="Q53" s="372"/>
      <c r="R53" s="335" t="s">
        <v>136</v>
      </c>
      <c r="S53" s="335" t="s">
        <v>136</v>
      </c>
      <c r="T53" s="510">
        <v>0.44</v>
      </c>
      <c r="U53" s="309">
        <f t="shared" si="1"/>
        <v>0</v>
      </c>
      <c r="V53" s="349">
        <v>1.21</v>
      </c>
      <c r="W53" s="344"/>
      <c r="X53" s="345"/>
      <c r="Y53" s="372"/>
      <c r="Z53" s="335" t="s">
        <v>136</v>
      </c>
      <c r="AA53" s="335" t="s">
        <v>136</v>
      </c>
      <c r="AB53" s="510">
        <v>0.44</v>
      </c>
      <c r="AC53" s="309">
        <f t="shared" si="2"/>
        <v>0</v>
      </c>
      <c r="AD53" s="411">
        <v>1.21</v>
      </c>
      <c r="AE53" s="344"/>
      <c r="AF53" s="345"/>
      <c r="AG53" s="372"/>
      <c r="AH53" s="364" t="s">
        <v>136</v>
      </c>
      <c r="AI53" s="335" t="s">
        <v>136</v>
      </c>
      <c r="AJ53" s="510">
        <v>0.44</v>
      </c>
      <c r="AK53" s="309">
        <f t="shared" si="3"/>
        <v>0</v>
      </c>
      <c r="AL53" s="349">
        <v>1.21</v>
      </c>
      <c r="AM53" s="344"/>
      <c r="AN53" s="345"/>
      <c r="AO53" s="372"/>
      <c r="AP53" s="364" t="s">
        <v>136</v>
      </c>
      <c r="AQ53" s="335" t="s">
        <v>136</v>
      </c>
      <c r="AR53" s="510">
        <v>0</v>
      </c>
      <c r="AS53" s="309">
        <f t="shared" si="4"/>
        <v>0</v>
      </c>
      <c r="AT53" s="349" t="s">
        <v>136</v>
      </c>
      <c r="AU53" s="486"/>
    </row>
    <row r="54" spans="1:47" s="297" customFormat="1" ht="15.75" customHeight="1" thickTop="1" thickBot="1" x14ac:dyDescent="0.3">
      <c r="A54" s="299" t="s">
        <v>624</v>
      </c>
      <c r="B54" s="423" t="s">
        <v>568</v>
      </c>
      <c r="C54" s="297" t="s">
        <v>569</v>
      </c>
      <c r="D54" s="325">
        <v>1</v>
      </c>
      <c r="E54" s="325">
        <v>0</v>
      </c>
      <c r="F54" s="481"/>
      <c r="G54" s="552">
        <f>IF($G$11=1,P54,0)</f>
        <v>0.03</v>
      </c>
      <c r="H54" s="370"/>
      <c r="I54" s="399">
        <f>$G$2*G54</f>
        <v>0.39</v>
      </c>
      <c r="J54" s="403">
        <v>375</v>
      </c>
      <c r="K54" s="339">
        <v>0</v>
      </c>
      <c r="L54" s="309">
        <f t="shared" si="0"/>
        <v>0</v>
      </c>
      <c r="M54" s="348" t="s">
        <v>136</v>
      </c>
      <c r="N54" s="481"/>
      <c r="O54" s="341" t="s">
        <v>543</v>
      </c>
      <c r="P54" s="404">
        <v>0.03</v>
      </c>
      <c r="Q54" s="370"/>
      <c r="R54" s="519">
        <f>$P$2*P54</f>
        <v>0.39</v>
      </c>
      <c r="S54" s="403">
        <v>375</v>
      </c>
      <c r="T54" s="339">
        <v>0</v>
      </c>
      <c r="U54" s="309">
        <f t="shared" si="1"/>
        <v>0</v>
      </c>
      <c r="V54" s="348" t="s">
        <v>136</v>
      </c>
      <c r="W54" s="341" t="s">
        <v>543</v>
      </c>
      <c r="X54" s="303"/>
      <c r="Y54" s="370"/>
      <c r="Z54" s="540">
        <v>0</v>
      </c>
      <c r="AA54" s="328">
        <v>375</v>
      </c>
      <c r="AB54" s="339">
        <v>0</v>
      </c>
      <c r="AC54" s="309">
        <f t="shared" si="2"/>
        <v>0</v>
      </c>
      <c r="AD54" s="414" t="s">
        <v>136</v>
      </c>
      <c r="AE54" s="341"/>
      <c r="AF54" s="303"/>
      <c r="AG54" s="370"/>
      <c r="AH54" s="339">
        <v>0</v>
      </c>
      <c r="AI54" s="328">
        <v>375</v>
      </c>
      <c r="AJ54" s="339">
        <v>0</v>
      </c>
      <c r="AK54" s="309">
        <f t="shared" si="3"/>
        <v>0</v>
      </c>
      <c r="AL54" s="348" t="s">
        <v>136</v>
      </c>
      <c r="AM54" s="341"/>
      <c r="AN54" s="303"/>
      <c r="AO54" s="370"/>
      <c r="AP54" s="339">
        <v>0</v>
      </c>
      <c r="AQ54" s="328">
        <v>375</v>
      </c>
      <c r="AR54" s="339">
        <v>0</v>
      </c>
      <c r="AS54" s="309">
        <f t="shared" si="4"/>
        <v>0</v>
      </c>
      <c r="AT54" s="348" t="s">
        <v>136</v>
      </c>
      <c r="AU54" s="486"/>
    </row>
    <row r="55" spans="1:47" s="297" customFormat="1" ht="15.75" customHeight="1" thickTop="1" thickBot="1" x14ac:dyDescent="0.3">
      <c r="A55" s="299" t="s">
        <v>624</v>
      </c>
      <c r="B55" s="423" t="s">
        <v>568</v>
      </c>
      <c r="C55" s="297" t="s">
        <v>569</v>
      </c>
      <c r="D55" s="325">
        <v>1</v>
      </c>
      <c r="E55" s="325">
        <v>1</v>
      </c>
      <c r="F55" s="481"/>
      <c r="G55" s="341"/>
      <c r="H55" s="404">
        <f>IF($H$11=1,Y55,0)</f>
        <v>0</v>
      </c>
      <c r="I55" s="511" t="s">
        <v>136</v>
      </c>
      <c r="J55" s="337" t="s">
        <v>136</v>
      </c>
      <c r="K55" s="493">
        <v>0.25</v>
      </c>
      <c r="L55" s="309">
        <f t="shared" si="0"/>
        <v>0</v>
      </c>
      <c r="M55" s="415">
        <v>1.1299999999999999</v>
      </c>
      <c r="N55" s="481"/>
      <c r="O55" s="341" t="s">
        <v>543</v>
      </c>
      <c r="P55" s="303"/>
      <c r="Q55" s="370"/>
      <c r="R55" s="511" t="s">
        <v>136</v>
      </c>
      <c r="S55" s="337" t="s">
        <v>136</v>
      </c>
      <c r="T55" s="508">
        <v>0.25</v>
      </c>
      <c r="U55" s="309">
        <f t="shared" si="1"/>
        <v>0</v>
      </c>
      <c r="V55" s="530">
        <v>1.1299999999999999</v>
      </c>
      <c r="W55" s="341" t="s">
        <v>543</v>
      </c>
      <c r="X55" s="303"/>
      <c r="Y55" s="404">
        <v>0.05</v>
      </c>
      <c r="Z55" s="365" t="s">
        <v>136</v>
      </c>
      <c r="AA55" s="337" t="s">
        <v>136</v>
      </c>
      <c r="AB55" s="493">
        <v>0.25</v>
      </c>
      <c r="AC55" s="309">
        <f t="shared" si="2"/>
        <v>544.5</v>
      </c>
      <c r="AD55" s="415">
        <v>1.1299999999999999</v>
      </c>
      <c r="AE55" s="341"/>
      <c r="AF55" s="303"/>
      <c r="AG55" s="370"/>
      <c r="AH55" s="365" t="s">
        <v>136</v>
      </c>
      <c r="AI55" s="337" t="s">
        <v>136</v>
      </c>
      <c r="AJ55" s="338">
        <v>0</v>
      </c>
      <c r="AK55" s="309">
        <f t="shared" si="3"/>
        <v>0</v>
      </c>
      <c r="AL55" s="530">
        <v>1.1299999999999999</v>
      </c>
      <c r="AM55" s="341"/>
      <c r="AN55" s="303"/>
      <c r="AO55" s="370"/>
      <c r="AP55" s="365" t="s">
        <v>136</v>
      </c>
      <c r="AQ55" s="337" t="s">
        <v>136</v>
      </c>
      <c r="AR55" s="338">
        <v>0</v>
      </c>
      <c r="AS55" s="309">
        <f t="shared" si="4"/>
        <v>0</v>
      </c>
      <c r="AT55" s="530">
        <v>1.1299999999999999</v>
      </c>
      <c r="AU55" s="487"/>
    </row>
    <row r="56" spans="1:47" s="297" customFormat="1" ht="15.75" customHeight="1" thickTop="1" thickBot="1" x14ac:dyDescent="0.3">
      <c r="A56" s="299" t="s">
        <v>624</v>
      </c>
      <c r="B56" s="423" t="s">
        <v>566</v>
      </c>
      <c r="C56" s="301" t="s">
        <v>567</v>
      </c>
      <c r="D56" s="325">
        <v>1</v>
      </c>
      <c r="E56" s="325">
        <v>0</v>
      </c>
      <c r="F56" s="481"/>
      <c r="G56" s="552">
        <f>IF($G$11=1,P56,0)</f>
        <v>0</v>
      </c>
      <c r="H56" s="370"/>
      <c r="I56" s="545">
        <f>$G$2*G56</f>
        <v>0</v>
      </c>
      <c r="J56" s="410">
        <v>375</v>
      </c>
      <c r="K56" s="330">
        <v>0</v>
      </c>
      <c r="L56" s="309">
        <f t="shared" si="0"/>
        <v>0</v>
      </c>
      <c r="M56" s="413" t="s">
        <v>136</v>
      </c>
      <c r="N56" s="481"/>
      <c r="O56" s="341" t="s">
        <v>543</v>
      </c>
      <c r="P56" s="404">
        <v>0</v>
      </c>
      <c r="Q56" s="370"/>
      <c r="R56" s="520">
        <f>$P$2*P56</f>
        <v>0</v>
      </c>
      <c r="S56" s="410">
        <v>375</v>
      </c>
      <c r="T56" s="330">
        <v>0</v>
      </c>
      <c r="U56" s="309">
        <f t="shared" si="1"/>
        <v>0</v>
      </c>
      <c r="V56" s="351" t="s">
        <v>136</v>
      </c>
      <c r="W56" s="341" t="s">
        <v>543</v>
      </c>
      <c r="X56" s="303"/>
      <c r="Y56" s="370"/>
      <c r="Z56" s="330">
        <f>$P$2*P56</f>
        <v>0</v>
      </c>
      <c r="AA56" s="333">
        <v>375</v>
      </c>
      <c r="AB56" s="330">
        <v>0</v>
      </c>
      <c r="AC56" s="309">
        <f t="shared" si="2"/>
        <v>0</v>
      </c>
      <c r="AD56" s="413" t="s">
        <v>136</v>
      </c>
      <c r="AE56" s="433"/>
      <c r="AF56" s="304"/>
      <c r="AG56" s="429"/>
      <c r="AH56" s="330">
        <f>$P$2*P56</f>
        <v>0</v>
      </c>
      <c r="AI56" s="333">
        <v>375</v>
      </c>
      <c r="AJ56" s="330">
        <v>0</v>
      </c>
      <c r="AK56" s="309">
        <f t="shared" si="3"/>
        <v>0</v>
      </c>
      <c r="AL56" s="351" t="s">
        <v>136</v>
      </c>
      <c r="AM56" s="433"/>
      <c r="AN56" s="304"/>
      <c r="AO56" s="429"/>
      <c r="AP56" s="366" t="s">
        <v>136</v>
      </c>
      <c r="AQ56" s="333">
        <v>375</v>
      </c>
      <c r="AR56" s="330">
        <v>0</v>
      </c>
      <c r="AS56" s="309">
        <f t="shared" si="4"/>
        <v>0</v>
      </c>
      <c r="AT56" s="351" t="s">
        <v>136</v>
      </c>
      <c r="AU56" s="486"/>
    </row>
    <row r="57" spans="1:47" s="297" customFormat="1" ht="15.75" customHeight="1" thickTop="1" thickBot="1" x14ac:dyDescent="0.3">
      <c r="A57" s="299" t="s">
        <v>624</v>
      </c>
      <c r="B57" s="423" t="s">
        <v>566</v>
      </c>
      <c r="C57" s="301" t="s">
        <v>567</v>
      </c>
      <c r="D57" s="325">
        <v>1</v>
      </c>
      <c r="E57" s="325">
        <v>1</v>
      </c>
      <c r="F57" s="481"/>
      <c r="G57" s="341"/>
      <c r="H57" s="404">
        <f>IF($H$11=1,Y57,0)</f>
        <v>0</v>
      </c>
      <c r="I57" s="333" t="s">
        <v>136</v>
      </c>
      <c r="J57" s="333" t="s">
        <v>136</v>
      </c>
      <c r="K57" s="421">
        <v>1</v>
      </c>
      <c r="L57" s="309">
        <f t="shared" si="0"/>
        <v>0</v>
      </c>
      <c r="M57" s="431">
        <v>1.1299999999999999</v>
      </c>
      <c r="N57" s="481"/>
      <c r="O57" s="341"/>
      <c r="P57" s="303"/>
      <c r="Q57" s="370"/>
      <c r="R57" s="333" t="s">
        <v>136</v>
      </c>
      <c r="S57" s="333" t="s">
        <v>136</v>
      </c>
      <c r="T57" s="340">
        <v>1</v>
      </c>
      <c r="U57" s="309">
        <f t="shared" si="1"/>
        <v>0</v>
      </c>
      <c r="V57" s="351">
        <v>1.1299999999999999</v>
      </c>
      <c r="W57" s="341"/>
      <c r="X57" s="303"/>
      <c r="Y57" s="404">
        <v>0.1</v>
      </c>
      <c r="Z57" s="333" t="s">
        <v>136</v>
      </c>
      <c r="AA57" s="333" t="s">
        <v>136</v>
      </c>
      <c r="AB57" s="421">
        <v>1</v>
      </c>
      <c r="AC57" s="309">
        <f t="shared" si="2"/>
        <v>4356</v>
      </c>
      <c r="AD57" s="431">
        <v>1.1299999999999999</v>
      </c>
      <c r="AE57" s="433"/>
      <c r="AF57" s="304"/>
      <c r="AG57" s="429"/>
      <c r="AH57" s="366" t="s">
        <v>136</v>
      </c>
      <c r="AI57" s="333" t="s">
        <v>136</v>
      </c>
      <c r="AJ57" s="330">
        <v>1</v>
      </c>
      <c r="AK57" s="309">
        <f t="shared" si="3"/>
        <v>0</v>
      </c>
      <c r="AL57" s="351">
        <v>1.1299999999999999</v>
      </c>
      <c r="AM57" s="433"/>
      <c r="AN57" s="304"/>
      <c r="AO57" s="429"/>
      <c r="AP57" s="366" t="s">
        <v>136</v>
      </c>
      <c r="AQ57" s="333" t="s">
        <v>136</v>
      </c>
      <c r="AR57" s="330">
        <v>0</v>
      </c>
      <c r="AS57" s="309">
        <f t="shared" si="4"/>
        <v>0</v>
      </c>
      <c r="AT57" s="351">
        <v>1.1299999999999999</v>
      </c>
      <c r="AU57" s="486"/>
    </row>
    <row r="58" spans="1:47" s="297" customFormat="1" ht="15.75" customHeight="1" thickTop="1" thickBot="1" x14ac:dyDescent="0.3">
      <c r="A58" s="299" t="s">
        <v>624</v>
      </c>
      <c r="B58" s="423" t="s">
        <v>570</v>
      </c>
      <c r="C58" s="297" t="s">
        <v>571</v>
      </c>
      <c r="D58" s="325">
        <v>1</v>
      </c>
      <c r="E58" s="325">
        <v>0</v>
      </c>
      <c r="F58" s="481"/>
      <c r="G58" s="552">
        <f>IF($G$11=1,P58,0)</f>
        <v>0.03</v>
      </c>
      <c r="H58" s="370"/>
      <c r="I58" s="399">
        <f>$G$2*G58</f>
        <v>0.39</v>
      </c>
      <c r="J58" s="403">
        <v>225</v>
      </c>
      <c r="K58" s="339">
        <v>0</v>
      </c>
      <c r="L58" s="309">
        <f t="shared" si="0"/>
        <v>0</v>
      </c>
      <c r="M58" s="414" t="s">
        <v>136</v>
      </c>
      <c r="N58" s="481"/>
      <c r="O58" s="341" t="s">
        <v>543</v>
      </c>
      <c r="P58" s="404">
        <v>0.03</v>
      </c>
      <c r="Q58" s="370"/>
      <c r="R58" s="519">
        <f>$P$2*P58</f>
        <v>0.39</v>
      </c>
      <c r="S58" s="403">
        <v>225</v>
      </c>
      <c r="T58" s="339">
        <v>0</v>
      </c>
      <c r="U58" s="309">
        <f t="shared" si="1"/>
        <v>0</v>
      </c>
      <c r="V58" s="348" t="s">
        <v>136</v>
      </c>
      <c r="W58" s="341" t="s">
        <v>543</v>
      </c>
      <c r="X58" s="303"/>
      <c r="Y58" s="370"/>
      <c r="Z58" s="540">
        <v>0</v>
      </c>
      <c r="AA58" s="328">
        <v>225</v>
      </c>
      <c r="AB58" s="339">
        <v>0</v>
      </c>
      <c r="AC58" s="309">
        <f t="shared" si="2"/>
        <v>0</v>
      </c>
      <c r="AD58" s="414" t="s">
        <v>136</v>
      </c>
      <c r="AE58" s="341"/>
      <c r="AF58" s="303"/>
      <c r="AG58" s="370"/>
      <c r="AH58" s="339">
        <v>0</v>
      </c>
      <c r="AI58" s="328">
        <v>225</v>
      </c>
      <c r="AJ58" s="339">
        <v>0</v>
      </c>
      <c r="AK58" s="309">
        <f t="shared" si="3"/>
        <v>0</v>
      </c>
      <c r="AL58" s="348" t="s">
        <v>136</v>
      </c>
      <c r="AM58" s="341"/>
      <c r="AN58" s="303"/>
      <c r="AO58" s="370"/>
      <c r="AP58" s="339">
        <v>0</v>
      </c>
      <c r="AQ58" s="328">
        <v>225</v>
      </c>
      <c r="AR58" s="339">
        <v>0</v>
      </c>
      <c r="AS58" s="309">
        <f t="shared" si="4"/>
        <v>0</v>
      </c>
      <c r="AT58" s="348" t="s">
        <v>136</v>
      </c>
      <c r="AU58" s="486"/>
    </row>
    <row r="59" spans="1:47" ht="15.75" customHeight="1" thickTop="1" thickBot="1" x14ac:dyDescent="0.3">
      <c r="A59" s="299" t="s">
        <v>624</v>
      </c>
      <c r="B59" s="423" t="s">
        <v>570</v>
      </c>
      <c r="C59" s="297" t="s">
        <v>571</v>
      </c>
      <c r="D59" s="325">
        <v>1</v>
      </c>
      <c r="E59" s="325">
        <v>1</v>
      </c>
      <c r="F59" s="479"/>
      <c r="G59" s="341"/>
      <c r="H59" s="404">
        <f>IF($H$11=1,Y59,0)</f>
        <v>0</v>
      </c>
      <c r="I59" s="511" t="s">
        <v>136</v>
      </c>
      <c r="J59" s="337" t="s">
        <v>136</v>
      </c>
      <c r="K59" s="493">
        <v>0.44</v>
      </c>
      <c r="L59" s="309">
        <f t="shared" si="0"/>
        <v>0</v>
      </c>
      <c r="M59" s="415">
        <v>1.1299999999999999</v>
      </c>
      <c r="N59" s="479"/>
      <c r="O59" s="341" t="s">
        <v>543</v>
      </c>
      <c r="P59" s="303"/>
      <c r="Q59" s="370"/>
      <c r="R59" s="511" t="s">
        <v>136</v>
      </c>
      <c r="S59" s="337" t="s">
        <v>136</v>
      </c>
      <c r="T59" s="508">
        <v>0.44</v>
      </c>
      <c r="U59" s="309">
        <f t="shared" si="1"/>
        <v>0</v>
      </c>
      <c r="V59" s="530">
        <v>1.1299999999999999</v>
      </c>
      <c r="W59" s="341" t="s">
        <v>543</v>
      </c>
      <c r="X59" s="303"/>
      <c r="Y59" s="404">
        <v>0.1</v>
      </c>
      <c r="Z59" s="365" t="s">
        <v>136</v>
      </c>
      <c r="AA59" s="337" t="s">
        <v>136</v>
      </c>
      <c r="AB59" s="493">
        <v>0.44</v>
      </c>
      <c r="AC59" s="309">
        <f t="shared" si="2"/>
        <v>1916.64</v>
      </c>
      <c r="AD59" s="415">
        <v>1.1299999999999999</v>
      </c>
      <c r="AE59" s="341"/>
      <c r="AF59" s="303"/>
      <c r="AG59" s="370"/>
      <c r="AH59" s="365" t="s">
        <v>136</v>
      </c>
      <c r="AI59" s="337" t="s">
        <v>136</v>
      </c>
      <c r="AJ59" s="338">
        <v>0</v>
      </c>
      <c r="AK59" s="309">
        <f t="shared" si="3"/>
        <v>0</v>
      </c>
      <c r="AL59" s="530">
        <v>1.1299999999999999</v>
      </c>
      <c r="AM59" s="341"/>
      <c r="AN59" s="303"/>
      <c r="AO59" s="370"/>
      <c r="AP59" s="365" t="s">
        <v>136</v>
      </c>
      <c r="AQ59" s="337" t="s">
        <v>136</v>
      </c>
      <c r="AR59" s="338">
        <v>0</v>
      </c>
      <c r="AS59" s="309">
        <f t="shared" si="4"/>
        <v>0</v>
      </c>
      <c r="AT59" s="530">
        <v>1.1299999999999999</v>
      </c>
      <c r="AU59" s="487"/>
    </row>
    <row r="60" spans="1:47" ht="15.75" customHeight="1" thickTop="1" thickBot="1" x14ac:dyDescent="0.3">
      <c r="A60" s="299" t="s">
        <v>624</v>
      </c>
      <c r="B60" s="423" t="s">
        <v>572</v>
      </c>
      <c r="C60" s="301" t="s">
        <v>573</v>
      </c>
      <c r="D60" s="325">
        <v>1</v>
      </c>
      <c r="E60" s="325">
        <v>0</v>
      </c>
      <c r="F60" s="479"/>
      <c r="G60" s="552">
        <f>IF($G$11=1,P60,0)</f>
        <v>0.05</v>
      </c>
      <c r="H60" s="370"/>
      <c r="I60" s="399">
        <f>$G$2*G60</f>
        <v>0.65</v>
      </c>
      <c r="J60" s="403">
        <v>180</v>
      </c>
      <c r="K60" s="339">
        <v>0</v>
      </c>
      <c r="L60" s="309">
        <f t="shared" si="0"/>
        <v>0</v>
      </c>
      <c r="M60" s="414" t="s">
        <v>136</v>
      </c>
      <c r="N60" s="479"/>
      <c r="O60" s="344" t="s">
        <v>543</v>
      </c>
      <c r="P60" s="404">
        <v>0.05</v>
      </c>
      <c r="Q60" s="370"/>
      <c r="R60" s="519">
        <f>$P$2*P60</f>
        <v>0.65</v>
      </c>
      <c r="S60" s="403">
        <v>180</v>
      </c>
      <c r="T60" s="339">
        <v>0</v>
      </c>
      <c r="U60" s="309">
        <f t="shared" si="1"/>
        <v>0</v>
      </c>
      <c r="V60" s="348" t="s">
        <v>136</v>
      </c>
      <c r="W60" s="344" t="s">
        <v>543</v>
      </c>
      <c r="X60" s="303"/>
      <c r="Y60" s="372"/>
      <c r="Z60" s="540">
        <v>0</v>
      </c>
      <c r="AA60" s="328">
        <v>180</v>
      </c>
      <c r="AB60" s="339">
        <v>0</v>
      </c>
      <c r="AC60" s="309">
        <f t="shared" si="2"/>
        <v>0</v>
      </c>
      <c r="AD60" s="414" t="s">
        <v>136</v>
      </c>
      <c r="AE60" s="344" t="s">
        <v>543</v>
      </c>
      <c r="AF60" s="404">
        <v>0.05</v>
      </c>
      <c r="AG60" s="372"/>
      <c r="AH60" s="339">
        <v>0</v>
      </c>
      <c r="AI60" s="328">
        <v>180</v>
      </c>
      <c r="AJ60" s="339">
        <v>0</v>
      </c>
      <c r="AK60" s="309">
        <f t="shared" si="3"/>
        <v>0</v>
      </c>
      <c r="AL60" s="348" t="s">
        <v>136</v>
      </c>
      <c r="AM60" s="344" t="s">
        <v>543</v>
      </c>
      <c r="AN60" s="345"/>
      <c r="AO60" s="372"/>
      <c r="AP60" s="339">
        <v>0</v>
      </c>
      <c r="AQ60" s="328">
        <v>180</v>
      </c>
      <c r="AR60" s="339">
        <v>0</v>
      </c>
      <c r="AS60" s="309">
        <f t="shared" si="4"/>
        <v>0</v>
      </c>
      <c r="AT60" s="348" t="s">
        <v>136</v>
      </c>
      <c r="AU60" s="486"/>
    </row>
    <row r="61" spans="1:47" s="307" customFormat="1" ht="15.6" customHeight="1" thickTop="1" thickBot="1" x14ac:dyDescent="0.35">
      <c r="A61" s="299" t="s">
        <v>624</v>
      </c>
      <c r="B61" s="423" t="s">
        <v>572</v>
      </c>
      <c r="C61" s="301" t="s">
        <v>573</v>
      </c>
      <c r="D61" s="325">
        <v>1</v>
      </c>
      <c r="E61" s="325">
        <v>1</v>
      </c>
      <c r="F61" s="482"/>
      <c r="G61" s="344"/>
      <c r="H61" s="404">
        <f>IF($H$11=1,Y61,0)</f>
        <v>0</v>
      </c>
      <c r="I61" s="511" t="s">
        <v>136</v>
      </c>
      <c r="J61" s="511" t="s">
        <v>136</v>
      </c>
      <c r="K61" s="493">
        <v>0.44</v>
      </c>
      <c r="L61" s="309">
        <f t="shared" si="0"/>
        <v>0</v>
      </c>
      <c r="M61" s="415">
        <v>1.1299999999999999</v>
      </c>
      <c r="N61" s="482"/>
      <c r="O61" s="344" t="s">
        <v>543</v>
      </c>
      <c r="P61" s="345"/>
      <c r="Q61" s="372"/>
      <c r="R61" s="511" t="s">
        <v>136</v>
      </c>
      <c r="S61" s="511" t="s">
        <v>136</v>
      </c>
      <c r="T61" s="508">
        <v>0.44</v>
      </c>
      <c r="U61" s="309">
        <f t="shared" si="1"/>
        <v>0</v>
      </c>
      <c r="V61" s="530">
        <v>1.1299999999999999</v>
      </c>
      <c r="W61" s="344" t="s">
        <v>543</v>
      </c>
      <c r="X61" s="345"/>
      <c r="Y61" s="404">
        <v>0.1</v>
      </c>
      <c r="Z61" s="365" t="s">
        <v>136</v>
      </c>
      <c r="AA61" s="337" t="s">
        <v>136</v>
      </c>
      <c r="AB61" s="493">
        <v>0.44</v>
      </c>
      <c r="AC61" s="309">
        <f t="shared" si="2"/>
        <v>1916.64</v>
      </c>
      <c r="AD61" s="415">
        <v>1.1299999999999999</v>
      </c>
      <c r="AE61" s="344" t="s">
        <v>543</v>
      </c>
      <c r="AG61" s="372"/>
      <c r="AH61" s="365" t="s">
        <v>136</v>
      </c>
      <c r="AI61" s="337" t="s">
        <v>136</v>
      </c>
      <c r="AJ61" s="508">
        <v>0.44</v>
      </c>
      <c r="AK61" s="309">
        <f t="shared" si="3"/>
        <v>0</v>
      </c>
      <c r="AL61" s="530">
        <v>1.1299999999999999</v>
      </c>
      <c r="AM61" s="344" t="s">
        <v>543</v>
      </c>
      <c r="AN61" s="345"/>
      <c r="AO61" s="404">
        <v>0.05</v>
      </c>
      <c r="AP61" s="365" t="s">
        <v>136</v>
      </c>
      <c r="AQ61" s="337" t="s">
        <v>136</v>
      </c>
      <c r="AR61" s="338">
        <v>0</v>
      </c>
      <c r="AS61" s="309">
        <f t="shared" si="4"/>
        <v>0</v>
      </c>
      <c r="AT61" s="530">
        <v>1.1299999999999999</v>
      </c>
      <c r="AU61" s="487"/>
    </row>
    <row r="62" spans="1:47" ht="15.75" customHeight="1" thickTop="1" thickBot="1" x14ac:dyDescent="0.3">
      <c r="A62" s="299" t="s">
        <v>624</v>
      </c>
      <c r="B62" s="423" t="s">
        <v>574</v>
      </c>
      <c r="C62" s="297" t="s">
        <v>575</v>
      </c>
      <c r="D62" s="325">
        <v>1</v>
      </c>
      <c r="E62" s="325">
        <v>0</v>
      </c>
      <c r="F62" s="479"/>
      <c r="G62" s="552">
        <f>IF($G$11=1,P62,0)</f>
        <v>0.03</v>
      </c>
      <c r="H62" s="370"/>
      <c r="I62" s="399">
        <f>$G$2*G62</f>
        <v>0.39</v>
      </c>
      <c r="J62" s="403">
        <v>90</v>
      </c>
      <c r="K62" s="339">
        <v>0</v>
      </c>
      <c r="L62" s="309">
        <f t="shared" si="0"/>
        <v>0</v>
      </c>
      <c r="M62" s="414" t="s">
        <v>136</v>
      </c>
      <c r="N62" s="479"/>
      <c r="O62" s="341" t="s">
        <v>543</v>
      </c>
      <c r="P62" s="404">
        <v>0.03</v>
      </c>
      <c r="Q62" s="370"/>
      <c r="R62" s="519">
        <f>$P$2*P62</f>
        <v>0.39</v>
      </c>
      <c r="S62" s="403">
        <v>90</v>
      </c>
      <c r="T62" s="339">
        <v>0</v>
      </c>
      <c r="U62" s="309">
        <f t="shared" si="1"/>
        <v>0</v>
      </c>
      <c r="V62" s="348" t="s">
        <v>136</v>
      </c>
      <c r="W62" s="341" t="s">
        <v>543</v>
      </c>
      <c r="X62" s="303"/>
      <c r="Y62" s="370"/>
      <c r="Z62" s="540">
        <v>0</v>
      </c>
      <c r="AA62" s="328">
        <v>90</v>
      </c>
      <c r="AB62" s="339">
        <v>0</v>
      </c>
      <c r="AC62" s="309">
        <f t="shared" si="2"/>
        <v>0</v>
      </c>
      <c r="AD62" s="414" t="s">
        <v>136</v>
      </c>
      <c r="AE62" s="341"/>
      <c r="AF62" s="303"/>
      <c r="AG62" s="370"/>
      <c r="AH62" s="339">
        <v>0</v>
      </c>
      <c r="AI62" s="328">
        <v>90</v>
      </c>
      <c r="AJ62" s="339">
        <v>0</v>
      </c>
      <c r="AK62" s="309">
        <f t="shared" si="3"/>
        <v>0</v>
      </c>
      <c r="AL62" s="348" t="s">
        <v>136</v>
      </c>
      <c r="AM62" s="341"/>
      <c r="AN62" s="303"/>
      <c r="AO62" s="370"/>
      <c r="AP62" s="339">
        <v>0</v>
      </c>
      <c r="AQ62" s="328">
        <v>90</v>
      </c>
      <c r="AR62" s="339">
        <v>0</v>
      </c>
      <c r="AS62" s="309">
        <f t="shared" si="4"/>
        <v>0</v>
      </c>
      <c r="AT62" s="348" t="s">
        <v>136</v>
      </c>
      <c r="AU62" s="486"/>
    </row>
    <row r="63" spans="1:47" ht="15.75" customHeight="1" thickTop="1" thickBot="1" x14ac:dyDescent="0.3">
      <c r="A63" s="299" t="s">
        <v>624</v>
      </c>
      <c r="B63" s="423" t="s">
        <v>574</v>
      </c>
      <c r="C63" s="297" t="s">
        <v>575</v>
      </c>
      <c r="D63" s="325">
        <v>1</v>
      </c>
      <c r="E63" s="325">
        <v>1</v>
      </c>
      <c r="F63" s="479"/>
      <c r="G63" s="341"/>
      <c r="H63" s="404">
        <f>IF($H$11=1,Y63,0)</f>
        <v>0</v>
      </c>
      <c r="I63" s="511" t="s">
        <v>136</v>
      </c>
      <c r="J63" s="337" t="s">
        <v>136</v>
      </c>
      <c r="K63" s="493">
        <v>0.44</v>
      </c>
      <c r="L63" s="309">
        <f t="shared" si="0"/>
        <v>0</v>
      </c>
      <c r="M63" s="415">
        <v>1.1299999999999999</v>
      </c>
      <c r="N63" s="479"/>
      <c r="O63" s="341" t="s">
        <v>543</v>
      </c>
      <c r="P63" s="303"/>
      <c r="Q63" s="370"/>
      <c r="R63" s="511" t="s">
        <v>136</v>
      </c>
      <c r="S63" s="337" t="s">
        <v>136</v>
      </c>
      <c r="T63" s="508">
        <v>0.44</v>
      </c>
      <c r="U63" s="309">
        <f t="shared" ref="U63" si="8">T63*(43560*Q63)</f>
        <v>0</v>
      </c>
      <c r="V63" s="530">
        <v>1.1299999999999999</v>
      </c>
      <c r="W63" s="341" t="s">
        <v>543</v>
      </c>
      <c r="X63" s="303"/>
      <c r="Y63" s="404">
        <v>0.05</v>
      </c>
      <c r="Z63" s="365" t="s">
        <v>136</v>
      </c>
      <c r="AA63" s="337" t="s">
        <v>136</v>
      </c>
      <c r="AB63" s="493">
        <v>0.44</v>
      </c>
      <c r="AC63" s="309">
        <f t="shared" si="2"/>
        <v>958.32</v>
      </c>
      <c r="AD63" s="415">
        <v>1.1299999999999999</v>
      </c>
      <c r="AE63" s="341"/>
      <c r="AF63" s="303"/>
      <c r="AG63" s="370"/>
      <c r="AH63" s="365" t="s">
        <v>136</v>
      </c>
      <c r="AI63" s="337" t="s">
        <v>136</v>
      </c>
      <c r="AJ63" s="338">
        <v>0</v>
      </c>
      <c r="AK63" s="309">
        <f t="shared" si="3"/>
        <v>0</v>
      </c>
      <c r="AL63" s="530">
        <v>1.1299999999999999</v>
      </c>
      <c r="AM63" s="341"/>
      <c r="AN63" s="303"/>
      <c r="AO63" s="370"/>
      <c r="AP63" s="365" t="s">
        <v>136</v>
      </c>
      <c r="AQ63" s="337" t="s">
        <v>136</v>
      </c>
      <c r="AR63" s="338">
        <v>0</v>
      </c>
      <c r="AS63" s="309">
        <f t="shared" si="4"/>
        <v>0</v>
      </c>
      <c r="AT63" s="530">
        <v>1.1299999999999999</v>
      </c>
      <c r="AU63" s="487"/>
    </row>
    <row r="64" spans="1:47" ht="15.75" customHeight="1" thickTop="1" thickBot="1" x14ac:dyDescent="0.3">
      <c r="A64" s="299" t="s">
        <v>624</v>
      </c>
      <c r="B64" s="423" t="s">
        <v>576</v>
      </c>
      <c r="C64" s="297" t="s">
        <v>577</v>
      </c>
      <c r="D64" s="325">
        <v>1</v>
      </c>
      <c r="E64" s="325">
        <v>0</v>
      </c>
      <c r="F64" s="479"/>
      <c r="G64" s="552">
        <f>IF($G$11=1,P64,0)</f>
        <v>0.03</v>
      </c>
      <c r="H64" s="370"/>
      <c r="I64" s="399">
        <f>$G$2*G64</f>
        <v>0.39</v>
      </c>
      <c r="J64" s="403">
        <v>75</v>
      </c>
      <c r="K64" s="339">
        <v>0</v>
      </c>
      <c r="L64" s="309">
        <f t="shared" si="0"/>
        <v>0</v>
      </c>
      <c r="M64" s="414" t="s">
        <v>136</v>
      </c>
      <c r="N64" s="479"/>
      <c r="O64" s="341" t="s">
        <v>543</v>
      </c>
      <c r="P64" s="404">
        <v>0.03</v>
      </c>
      <c r="Q64" s="370"/>
      <c r="R64" s="519">
        <f>$P$2*P64</f>
        <v>0.39</v>
      </c>
      <c r="S64" s="403">
        <v>75</v>
      </c>
      <c r="T64" s="339">
        <v>0</v>
      </c>
      <c r="U64" s="309">
        <f t="shared" si="1"/>
        <v>0</v>
      </c>
      <c r="V64" s="348" t="s">
        <v>136</v>
      </c>
      <c r="W64" s="341" t="s">
        <v>543</v>
      </c>
      <c r="X64" s="303"/>
      <c r="Y64" s="370"/>
      <c r="Z64" s="540">
        <v>0</v>
      </c>
      <c r="AA64" s="328">
        <v>75</v>
      </c>
      <c r="AB64" s="339">
        <v>0</v>
      </c>
      <c r="AC64" s="309">
        <f t="shared" si="2"/>
        <v>0</v>
      </c>
      <c r="AD64" s="414" t="s">
        <v>136</v>
      </c>
      <c r="AE64" s="341"/>
      <c r="AF64" s="303"/>
      <c r="AG64" s="370"/>
      <c r="AH64" s="339">
        <v>0</v>
      </c>
      <c r="AI64" s="328">
        <v>75</v>
      </c>
      <c r="AJ64" s="339">
        <v>0</v>
      </c>
      <c r="AK64" s="309">
        <f t="shared" si="3"/>
        <v>0</v>
      </c>
      <c r="AL64" s="348" t="s">
        <v>136</v>
      </c>
      <c r="AM64" s="341"/>
      <c r="AN64" s="303"/>
      <c r="AO64" s="370"/>
      <c r="AP64" s="339">
        <v>0</v>
      </c>
      <c r="AQ64" s="328">
        <v>75</v>
      </c>
      <c r="AR64" s="339">
        <v>0</v>
      </c>
      <c r="AS64" s="309">
        <f t="shared" si="4"/>
        <v>0</v>
      </c>
      <c r="AT64" s="348" t="s">
        <v>136</v>
      </c>
      <c r="AU64" s="486"/>
    </row>
    <row r="65" spans="1:47" ht="15.75" customHeight="1" thickTop="1" thickBot="1" x14ac:dyDescent="0.3">
      <c r="A65" s="299" t="s">
        <v>624</v>
      </c>
      <c r="B65" s="423" t="s">
        <v>576</v>
      </c>
      <c r="C65" s="297" t="s">
        <v>577</v>
      </c>
      <c r="D65" s="325">
        <v>1</v>
      </c>
      <c r="E65" s="325">
        <v>1</v>
      </c>
      <c r="F65" s="479"/>
      <c r="G65" s="341"/>
      <c r="H65" s="404">
        <f>IF($H$11=1,Y65,0)</f>
        <v>0</v>
      </c>
      <c r="I65" s="511" t="s">
        <v>136</v>
      </c>
      <c r="J65" s="337" t="s">
        <v>136</v>
      </c>
      <c r="K65" s="409">
        <v>1</v>
      </c>
      <c r="L65" s="309">
        <f t="shared" si="0"/>
        <v>0</v>
      </c>
      <c r="M65" s="415">
        <v>1.1299999999999999</v>
      </c>
      <c r="N65" s="479"/>
      <c r="O65" s="341" t="s">
        <v>543</v>
      </c>
      <c r="P65" s="303"/>
      <c r="Q65" s="370"/>
      <c r="R65" s="511" t="s">
        <v>136</v>
      </c>
      <c r="S65" s="337" t="s">
        <v>136</v>
      </c>
      <c r="T65" s="338">
        <v>0</v>
      </c>
      <c r="U65" s="309">
        <f t="shared" si="1"/>
        <v>0</v>
      </c>
      <c r="V65" s="530">
        <v>1.1299999999999999</v>
      </c>
      <c r="W65" s="341" t="s">
        <v>543</v>
      </c>
      <c r="X65" s="303"/>
      <c r="Y65" s="404">
        <v>0.05</v>
      </c>
      <c r="Z65" s="365" t="s">
        <v>136</v>
      </c>
      <c r="AA65" s="337" t="s">
        <v>136</v>
      </c>
      <c r="AB65" s="409">
        <v>1</v>
      </c>
      <c r="AC65" s="309">
        <f t="shared" si="2"/>
        <v>2178</v>
      </c>
      <c r="AD65" s="415">
        <v>1.1299999999999999</v>
      </c>
      <c r="AE65" s="341"/>
      <c r="AF65" s="303"/>
      <c r="AG65" s="370"/>
      <c r="AH65" s="365" t="s">
        <v>136</v>
      </c>
      <c r="AI65" s="337" t="s">
        <v>136</v>
      </c>
      <c r="AJ65" s="338">
        <v>0</v>
      </c>
      <c r="AK65" s="309">
        <f t="shared" si="3"/>
        <v>0</v>
      </c>
      <c r="AL65" s="530">
        <v>1.1299999999999999</v>
      </c>
      <c r="AM65" s="341"/>
      <c r="AN65" s="303"/>
      <c r="AO65" s="370"/>
      <c r="AP65" s="365" t="s">
        <v>136</v>
      </c>
      <c r="AQ65" s="337" t="s">
        <v>136</v>
      </c>
      <c r="AR65" s="338">
        <v>0</v>
      </c>
      <c r="AS65" s="309">
        <f t="shared" si="4"/>
        <v>0</v>
      </c>
      <c r="AT65" s="530">
        <v>1.1299999999999999</v>
      </c>
      <c r="AU65" s="487"/>
    </row>
    <row r="66" spans="1:47" ht="15.75" customHeight="1" thickTop="1" x14ac:dyDescent="0.25">
      <c r="A66" s="299" t="s">
        <v>624</v>
      </c>
      <c r="B66" s="423" t="s">
        <v>608</v>
      </c>
      <c r="C66" s="297" t="s">
        <v>609</v>
      </c>
      <c r="D66" s="325">
        <v>1</v>
      </c>
      <c r="E66" s="325">
        <v>0</v>
      </c>
      <c r="F66" s="479"/>
      <c r="G66" s="341"/>
      <c r="H66" s="370"/>
      <c r="I66" s="327" t="s">
        <v>136</v>
      </c>
      <c r="J66" s="327">
        <v>225</v>
      </c>
      <c r="K66" s="331">
        <v>0</v>
      </c>
      <c r="L66" s="309">
        <f t="shared" si="0"/>
        <v>0</v>
      </c>
      <c r="M66" s="350" t="s">
        <v>136</v>
      </c>
      <c r="N66" s="479"/>
      <c r="O66" s="341"/>
      <c r="P66" s="303"/>
      <c r="Q66" s="370"/>
      <c r="R66" s="327" t="s">
        <v>136</v>
      </c>
      <c r="S66" s="327">
        <v>225</v>
      </c>
      <c r="T66" s="331">
        <v>0</v>
      </c>
      <c r="U66" s="309">
        <f t="shared" si="1"/>
        <v>0</v>
      </c>
      <c r="V66" s="350" t="s">
        <v>136</v>
      </c>
      <c r="W66" s="341"/>
      <c r="X66" s="303"/>
      <c r="Y66" s="370"/>
      <c r="Z66" s="327" t="s">
        <v>136</v>
      </c>
      <c r="AA66" s="327">
        <v>225</v>
      </c>
      <c r="AB66" s="331">
        <v>0</v>
      </c>
      <c r="AC66" s="309">
        <f t="shared" si="2"/>
        <v>0</v>
      </c>
      <c r="AD66" s="412" t="s">
        <v>136</v>
      </c>
      <c r="AE66" s="341"/>
      <c r="AF66" s="303"/>
      <c r="AG66" s="370"/>
      <c r="AH66" s="327" t="s">
        <v>136</v>
      </c>
      <c r="AI66" s="327">
        <v>225</v>
      </c>
      <c r="AJ66" s="331">
        <v>0</v>
      </c>
      <c r="AK66" s="309">
        <f t="shared" si="3"/>
        <v>0</v>
      </c>
      <c r="AL66" s="350" t="s">
        <v>136</v>
      </c>
      <c r="AM66" s="341"/>
      <c r="AN66" s="303"/>
      <c r="AO66" s="370"/>
      <c r="AP66" s="327" t="s">
        <v>136</v>
      </c>
      <c r="AQ66" s="327">
        <v>225</v>
      </c>
      <c r="AR66" s="331">
        <v>0</v>
      </c>
      <c r="AS66" s="309">
        <f t="shared" si="4"/>
        <v>0</v>
      </c>
      <c r="AT66" s="350" t="s">
        <v>136</v>
      </c>
      <c r="AU66" s="486"/>
    </row>
    <row r="67" spans="1:47" ht="15.75" customHeight="1" x14ac:dyDescent="0.25">
      <c r="A67" s="299" t="s">
        <v>624</v>
      </c>
      <c r="B67" s="423" t="s">
        <v>608</v>
      </c>
      <c r="C67" s="297" t="s">
        <v>609</v>
      </c>
      <c r="D67" s="325">
        <v>1</v>
      </c>
      <c r="E67" s="325">
        <v>1</v>
      </c>
      <c r="F67" s="479"/>
      <c r="G67" s="341"/>
      <c r="H67" s="370"/>
      <c r="I67" s="335" t="s">
        <v>136</v>
      </c>
      <c r="J67" s="335" t="s">
        <v>136</v>
      </c>
      <c r="K67" s="336">
        <v>0</v>
      </c>
      <c r="L67" s="309">
        <f t="shared" si="0"/>
        <v>0</v>
      </c>
      <c r="M67" s="349">
        <v>1.1299999999999999</v>
      </c>
      <c r="N67" s="479"/>
      <c r="O67" s="341"/>
      <c r="P67" s="303"/>
      <c r="Q67" s="370"/>
      <c r="R67" s="335" t="s">
        <v>136</v>
      </c>
      <c r="S67" s="335" t="s">
        <v>136</v>
      </c>
      <c r="T67" s="336">
        <v>0</v>
      </c>
      <c r="U67" s="309">
        <f t="shared" si="1"/>
        <v>0</v>
      </c>
      <c r="V67" s="349">
        <v>1.1299999999999999</v>
      </c>
      <c r="W67" s="341"/>
      <c r="X67" s="303"/>
      <c r="Y67" s="370"/>
      <c r="Z67" s="335" t="s">
        <v>136</v>
      </c>
      <c r="AA67" s="335" t="s">
        <v>136</v>
      </c>
      <c r="AB67" s="336">
        <v>1</v>
      </c>
      <c r="AC67" s="309">
        <f t="shared" si="2"/>
        <v>0</v>
      </c>
      <c r="AD67" s="349">
        <v>1.1299999999999999</v>
      </c>
      <c r="AE67" s="341"/>
      <c r="AF67" s="303"/>
      <c r="AG67" s="370"/>
      <c r="AH67" s="335" t="s">
        <v>136</v>
      </c>
      <c r="AI67" s="335" t="s">
        <v>136</v>
      </c>
      <c r="AJ67" s="336">
        <v>0</v>
      </c>
      <c r="AK67" s="309">
        <f t="shared" si="3"/>
        <v>0</v>
      </c>
      <c r="AL67" s="349">
        <v>1.1299999999999999</v>
      </c>
      <c r="AM67" s="341"/>
      <c r="AN67" s="303"/>
      <c r="AO67" s="370"/>
      <c r="AP67" s="335" t="s">
        <v>136</v>
      </c>
      <c r="AQ67" s="335" t="s">
        <v>136</v>
      </c>
      <c r="AR67" s="336">
        <v>0</v>
      </c>
      <c r="AS67" s="309">
        <f t="shared" si="4"/>
        <v>0</v>
      </c>
      <c r="AT67" s="349">
        <v>1.1299999999999999</v>
      </c>
      <c r="AU67" s="486"/>
    </row>
    <row r="68" spans="1:47" ht="15.75" customHeight="1" x14ac:dyDescent="0.25">
      <c r="A68" s="299" t="s">
        <v>624</v>
      </c>
      <c r="B68" s="423" t="s">
        <v>610</v>
      </c>
      <c r="C68" s="297" t="s">
        <v>611</v>
      </c>
      <c r="D68" s="325">
        <v>1</v>
      </c>
      <c r="E68" s="325">
        <v>0</v>
      </c>
      <c r="F68" s="479"/>
      <c r="G68" s="341"/>
      <c r="H68" s="370"/>
      <c r="I68" s="327" t="s">
        <v>136</v>
      </c>
      <c r="J68" s="327">
        <v>180</v>
      </c>
      <c r="K68" s="331">
        <v>0</v>
      </c>
      <c r="L68" s="309">
        <f t="shared" si="0"/>
        <v>0</v>
      </c>
      <c r="M68" s="350" t="s">
        <v>136</v>
      </c>
      <c r="N68" s="479"/>
      <c r="O68" s="341"/>
      <c r="P68" s="303"/>
      <c r="Q68" s="370"/>
      <c r="R68" s="327" t="s">
        <v>136</v>
      </c>
      <c r="S68" s="327">
        <v>180</v>
      </c>
      <c r="T68" s="331">
        <v>0</v>
      </c>
      <c r="U68" s="309">
        <f t="shared" si="1"/>
        <v>0</v>
      </c>
      <c r="V68" s="350" t="s">
        <v>136</v>
      </c>
      <c r="W68" s="341"/>
      <c r="X68" s="303"/>
      <c r="Y68" s="370"/>
      <c r="Z68" s="327" t="s">
        <v>136</v>
      </c>
      <c r="AA68" s="327">
        <v>180</v>
      </c>
      <c r="AB68" s="331">
        <v>0</v>
      </c>
      <c r="AC68" s="309">
        <f t="shared" si="2"/>
        <v>0</v>
      </c>
      <c r="AD68" s="412" t="s">
        <v>136</v>
      </c>
      <c r="AE68" s="341"/>
      <c r="AF68" s="303"/>
      <c r="AG68" s="370"/>
      <c r="AH68" s="327" t="s">
        <v>136</v>
      </c>
      <c r="AI68" s="327">
        <v>180</v>
      </c>
      <c r="AJ68" s="331">
        <v>0</v>
      </c>
      <c r="AK68" s="309">
        <f t="shared" si="3"/>
        <v>0</v>
      </c>
      <c r="AL68" s="350" t="s">
        <v>136</v>
      </c>
      <c r="AM68" s="341"/>
      <c r="AN68" s="303"/>
      <c r="AO68" s="370"/>
      <c r="AP68" s="327" t="s">
        <v>136</v>
      </c>
      <c r="AQ68" s="327">
        <v>180</v>
      </c>
      <c r="AR68" s="331">
        <v>0</v>
      </c>
      <c r="AS68" s="309">
        <f t="shared" si="4"/>
        <v>0</v>
      </c>
      <c r="AT68" s="350" t="s">
        <v>136</v>
      </c>
      <c r="AU68" s="486"/>
    </row>
    <row r="69" spans="1:47" ht="15.75" customHeight="1" x14ac:dyDescent="0.25">
      <c r="A69" s="299" t="s">
        <v>624</v>
      </c>
      <c r="B69" s="423" t="s">
        <v>610</v>
      </c>
      <c r="C69" s="297" t="s">
        <v>611</v>
      </c>
      <c r="D69" s="325">
        <v>1</v>
      </c>
      <c r="E69" s="325">
        <v>1</v>
      </c>
      <c r="F69" s="479"/>
      <c r="G69" s="341"/>
      <c r="H69" s="370"/>
      <c r="I69" s="511" t="s">
        <v>136</v>
      </c>
      <c r="J69" s="337" t="s">
        <v>136</v>
      </c>
      <c r="K69" s="338">
        <v>4</v>
      </c>
      <c r="L69" s="309">
        <f t="shared" si="0"/>
        <v>0</v>
      </c>
      <c r="M69" s="432" t="s">
        <v>136</v>
      </c>
      <c r="N69" s="479"/>
      <c r="O69" s="341"/>
      <c r="P69" s="303"/>
      <c r="Q69" s="370"/>
      <c r="R69" s="511" t="s">
        <v>136</v>
      </c>
      <c r="S69" s="337" t="s">
        <v>136</v>
      </c>
      <c r="T69" s="338">
        <v>4</v>
      </c>
      <c r="U69" s="309">
        <f t="shared" si="1"/>
        <v>0</v>
      </c>
      <c r="V69" s="432" t="s">
        <v>136</v>
      </c>
      <c r="W69" s="341"/>
      <c r="X69" s="303"/>
      <c r="Y69" s="370"/>
      <c r="Z69" s="365" t="s">
        <v>136</v>
      </c>
      <c r="AA69" s="337" t="s">
        <v>136</v>
      </c>
      <c r="AB69" s="338">
        <v>4</v>
      </c>
      <c r="AC69" s="309">
        <f t="shared" si="2"/>
        <v>0</v>
      </c>
      <c r="AD69" s="405" t="s">
        <v>136</v>
      </c>
      <c r="AE69" s="341"/>
      <c r="AF69" s="303"/>
      <c r="AG69" s="370"/>
      <c r="AH69" s="365" t="s">
        <v>136</v>
      </c>
      <c r="AI69" s="337" t="s">
        <v>136</v>
      </c>
      <c r="AJ69" s="338">
        <v>4</v>
      </c>
      <c r="AK69" s="309">
        <f t="shared" si="3"/>
        <v>0</v>
      </c>
      <c r="AL69" s="432" t="s">
        <v>136</v>
      </c>
      <c r="AM69" s="341"/>
      <c r="AN69" s="303"/>
      <c r="AO69" s="370"/>
      <c r="AP69" s="365" t="s">
        <v>136</v>
      </c>
      <c r="AQ69" s="337" t="s">
        <v>136</v>
      </c>
      <c r="AR69" s="508">
        <v>0.25</v>
      </c>
      <c r="AS69" s="309">
        <f t="shared" si="4"/>
        <v>0</v>
      </c>
      <c r="AT69" s="432" t="s">
        <v>136</v>
      </c>
      <c r="AU69" s="487"/>
    </row>
    <row r="70" spans="1:47" ht="15.75" customHeight="1" x14ac:dyDescent="0.25">
      <c r="A70" s="299" t="s">
        <v>624</v>
      </c>
      <c r="B70" s="423" t="s">
        <v>612</v>
      </c>
      <c r="C70" s="297" t="s">
        <v>613</v>
      </c>
      <c r="D70" s="325">
        <v>1</v>
      </c>
      <c r="E70" s="325">
        <v>0</v>
      </c>
      <c r="F70" s="479"/>
      <c r="G70" s="341"/>
      <c r="H70" s="370"/>
      <c r="I70" s="516" t="s">
        <v>136</v>
      </c>
      <c r="J70" s="516" t="s">
        <v>136</v>
      </c>
      <c r="K70" s="339">
        <v>0</v>
      </c>
      <c r="L70" s="309">
        <f t="shared" si="0"/>
        <v>0</v>
      </c>
      <c r="M70" s="348" t="s">
        <v>136</v>
      </c>
      <c r="N70" s="479"/>
      <c r="O70" s="341"/>
      <c r="P70" s="303"/>
      <c r="Q70" s="370"/>
      <c r="R70" s="516" t="s">
        <v>136</v>
      </c>
      <c r="S70" s="516" t="s">
        <v>136</v>
      </c>
      <c r="T70" s="339">
        <v>0</v>
      </c>
      <c r="U70" s="309">
        <f t="shared" ref="U70:U99" si="9">T70*(43560*Q70)</f>
        <v>0</v>
      </c>
      <c r="V70" s="348" t="s">
        <v>136</v>
      </c>
      <c r="W70" s="341"/>
      <c r="X70" s="303"/>
      <c r="Y70" s="370"/>
      <c r="Z70" s="417" t="s">
        <v>136</v>
      </c>
      <c r="AA70" s="417" t="s">
        <v>136</v>
      </c>
      <c r="AB70" s="339">
        <v>0</v>
      </c>
      <c r="AC70" s="309">
        <f t="shared" ref="AC70:AC99" si="10">AB70*(43560*Y70)</f>
        <v>0</v>
      </c>
      <c r="AD70" s="414" t="s">
        <v>136</v>
      </c>
      <c r="AE70" s="341"/>
      <c r="AF70" s="303"/>
      <c r="AG70" s="370"/>
      <c r="AH70" s="417" t="s">
        <v>136</v>
      </c>
      <c r="AI70" s="417" t="s">
        <v>136</v>
      </c>
      <c r="AJ70" s="339">
        <v>0</v>
      </c>
      <c r="AK70" s="309">
        <f t="shared" si="3"/>
        <v>0</v>
      </c>
      <c r="AL70" s="348" t="s">
        <v>136</v>
      </c>
      <c r="AM70" s="341"/>
      <c r="AN70" s="303"/>
      <c r="AO70" s="370"/>
      <c r="AP70" s="417" t="s">
        <v>136</v>
      </c>
      <c r="AQ70" s="417" t="s">
        <v>136</v>
      </c>
      <c r="AR70" s="339">
        <v>0</v>
      </c>
      <c r="AS70" s="309">
        <f t="shared" si="4"/>
        <v>0</v>
      </c>
      <c r="AT70" s="348" t="s">
        <v>136</v>
      </c>
      <c r="AU70" s="486"/>
    </row>
    <row r="71" spans="1:47" ht="15.75" customHeight="1" thickBot="1" x14ac:dyDescent="0.3">
      <c r="A71" s="299" t="s">
        <v>624</v>
      </c>
      <c r="B71" s="423" t="s">
        <v>612</v>
      </c>
      <c r="C71" s="297" t="s">
        <v>613</v>
      </c>
      <c r="D71" s="325">
        <v>1</v>
      </c>
      <c r="E71" s="325">
        <v>1</v>
      </c>
      <c r="F71" s="479"/>
      <c r="G71" s="341"/>
      <c r="H71" s="370"/>
      <c r="I71" s="511" t="s">
        <v>136</v>
      </c>
      <c r="J71" s="337" t="s">
        <v>136</v>
      </c>
      <c r="K71" s="508">
        <v>0.25</v>
      </c>
      <c r="L71" s="309">
        <f t="shared" si="0"/>
        <v>0</v>
      </c>
      <c r="M71" s="537">
        <v>1.1299999999999999</v>
      </c>
      <c r="N71" s="479"/>
      <c r="O71" s="341"/>
      <c r="P71" s="303"/>
      <c r="Q71" s="370"/>
      <c r="R71" s="511" t="s">
        <v>136</v>
      </c>
      <c r="S71" s="337" t="s">
        <v>136</v>
      </c>
      <c r="T71" s="508">
        <v>0.25</v>
      </c>
      <c r="U71" s="309">
        <f t="shared" si="9"/>
        <v>0</v>
      </c>
      <c r="V71" s="530">
        <v>1.1299999999999999</v>
      </c>
      <c r="W71" s="341"/>
      <c r="X71" s="303"/>
      <c r="Y71" s="370"/>
      <c r="Z71" s="365" t="s">
        <v>136</v>
      </c>
      <c r="AA71" s="337" t="s">
        <v>136</v>
      </c>
      <c r="AB71" s="508">
        <v>0.25</v>
      </c>
      <c r="AC71" s="309">
        <f t="shared" si="10"/>
        <v>0</v>
      </c>
      <c r="AD71" s="530">
        <v>1.1299999999999999</v>
      </c>
      <c r="AE71" s="341"/>
      <c r="AF71" s="303"/>
      <c r="AG71" s="370"/>
      <c r="AH71" s="365" t="s">
        <v>136</v>
      </c>
      <c r="AI71" s="337" t="s">
        <v>136</v>
      </c>
      <c r="AJ71" s="508">
        <v>0.25</v>
      </c>
      <c r="AK71" s="309">
        <f t="shared" si="3"/>
        <v>0</v>
      </c>
      <c r="AL71" s="530">
        <v>1.1299999999999999</v>
      </c>
      <c r="AM71" s="341"/>
      <c r="AN71" s="303"/>
      <c r="AO71" s="370"/>
      <c r="AP71" s="365" t="s">
        <v>136</v>
      </c>
      <c r="AQ71" s="337" t="s">
        <v>136</v>
      </c>
      <c r="AR71" s="508">
        <v>0.25</v>
      </c>
      <c r="AS71" s="309">
        <f t="shared" si="4"/>
        <v>0</v>
      </c>
      <c r="AT71" s="530">
        <v>1.1299999999999999</v>
      </c>
      <c r="AU71" s="487"/>
    </row>
    <row r="72" spans="1:47" ht="15.75" customHeight="1" thickTop="1" thickBot="1" x14ac:dyDescent="0.3">
      <c r="A72" s="299" t="s">
        <v>624</v>
      </c>
      <c r="B72" s="513" t="s">
        <v>667</v>
      </c>
      <c r="C72" s="532" t="s">
        <v>668</v>
      </c>
      <c r="D72" s="514">
        <v>1</v>
      </c>
      <c r="E72" s="514">
        <v>0</v>
      </c>
      <c r="F72" s="479"/>
      <c r="G72" s="341"/>
      <c r="H72" s="370"/>
      <c r="I72" s="516" t="s">
        <v>136</v>
      </c>
      <c r="J72" s="531">
        <v>450</v>
      </c>
      <c r="K72" s="339">
        <v>0</v>
      </c>
      <c r="L72" s="309">
        <f t="shared" si="0"/>
        <v>0</v>
      </c>
      <c r="M72" s="348" t="s">
        <v>136</v>
      </c>
      <c r="N72" s="479"/>
      <c r="O72" s="341"/>
      <c r="P72" s="303"/>
      <c r="Q72" s="370"/>
      <c r="R72" s="516" t="s">
        <v>136</v>
      </c>
      <c r="S72" s="531">
        <v>450</v>
      </c>
      <c r="T72" s="339">
        <v>0</v>
      </c>
      <c r="U72" s="309">
        <f t="shared" ref="U72:U73" si="11">T72*(43560*Q72)</f>
        <v>0</v>
      </c>
      <c r="V72" s="348" t="s">
        <v>136</v>
      </c>
      <c r="W72" s="341"/>
      <c r="X72" s="303"/>
      <c r="Y72" s="370"/>
      <c r="Z72" s="516" t="s">
        <v>136</v>
      </c>
      <c r="AA72" s="531">
        <v>450</v>
      </c>
      <c r="AB72" s="339">
        <v>0</v>
      </c>
      <c r="AC72" s="309">
        <f t="shared" si="10"/>
        <v>0</v>
      </c>
      <c r="AD72" s="414" t="s">
        <v>136</v>
      </c>
      <c r="AE72" s="341" t="s">
        <v>677</v>
      </c>
      <c r="AF72" s="404">
        <v>0.06</v>
      </c>
      <c r="AG72" s="370"/>
      <c r="AH72" s="516" t="s">
        <v>136</v>
      </c>
      <c r="AI72" s="531">
        <v>450</v>
      </c>
      <c r="AJ72" s="339">
        <v>0</v>
      </c>
      <c r="AK72" s="309">
        <f t="shared" si="3"/>
        <v>0</v>
      </c>
      <c r="AL72" s="348" t="s">
        <v>136</v>
      </c>
      <c r="AM72" s="341"/>
      <c r="AN72" s="303"/>
      <c r="AO72" s="370"/>
      <c r="AP72" s="417" t="s">
        <v>136</v>
      </c>
      <c r="AQ72" s="531">
        <v>450</v>
      </c>
      <c r="AR72" s="339">
        <v>0</v>
      </c>
      <c r="AS72" s="309">
        <f t="shared" si="4"/>
        <v>0</v>
      </c>
      <c r="AT72" s="348" t="s">
        <v>136</v>
      </c>
      <c r="AU72" s="487"/>
    </row>
    <row r="73" spans="1:47" ht="15.75" customHeight="1" thickTop="1" thickBot="1" x14ac:dyDescent="0.3">
      <c r="A73" s="299" t="s">
        <v>624</v>
      </c>
      <c r="B73" s="513" t="s">
        <v>667</v>
      </c>
      <c r="C73" s="532" t="s">
        <v>668</v>
      </c>
      <c r="D73" s="514">
        <v>1</v>
      </c>
      <c r="E73" s="514">
        <v>1</v>
      </c>
      <c r="F73" s="479"/>
      <c r="G73" s="341"/>
      <c r="H73" s="370"/>
      <c r="I73" s="511" t="s">
        <v>136</v>
      </c>
      <c r="J73" s="337" t="s">
        <v>136</v>
      </c>
      <c r="K73" s="508">
        <v>0.25</v>
      </c>
      <c r="L73" s="309">
        <f t="shared" si="0"/>
        <v>0</v>
      </c>
      <c r="M73" s="537">
        <v>1.1299999999999999</v>
      </c>
      <c r="N73" s="479"/>
      <c r="O73" s="341"/>
      <c r="P73" s="303"/>
      <c r="Q73" s="370"/>
      <c r="R73" s="511" t="s">
        <v>136</v>
      </c>
      <c r="S73" s="337" t="s">
        <v>136</v>
      </c>
      <c r="T73" s="508">
        <v>0.25</v>
      </c>
      <c r="U73" s="309">
        <f t="shared" si="11"/>
        <v>0</v>
      </c>
      <c r="V73" s="530">
        <v>1.1299999999999999</v>
      </c>
      <c r="W73" s="341"/>
      <c r="X73" s="303"/>
      <c r="Y73" s="370"/>
      <c r="Z73" s="511" t="s">
        <v>136</v>
      </c>
      <c r="AA73" s="337" t="s">
        <v>136</v>
      </c>
      <c r="AB73" s="508">
        <v>0.25</v>
      </c>
      <c r="AC73" s="309">
        <f t="shared" si="10"/>
        <v>0</v>
      </c>
      <c r="AD73" s="530">
        <v>1.1299999999999999</v>
      </c>
      <c r="AE73" s="341"/>
      <c r="AF73" s="303"/>
      <c r="AG73" s="370"/>
      <c r="AH73" s="511" t="s">
        <v>136</v>
      </c>
      <c r="AI73" s="337" t="s">
        <v>136</v>
      </c>
      <c r="AJ73" s="508">
        <v>0.25</v>
      </c>
      <c r="AK73" s="309">
        <f t="shared" si="3"/>
        <v>0</v>
      </c>
      <c r="AL73" s="530">
        <v>1.1299999999999999</v>
      </c>
      <c r="AM73" s="341"/>
      <c r="AN73" s="303"/>
      <c r="AO73" s="404">
        <v>0.05</v>
      </c>
      <c r="AP73" s="365" t="s">
        <v>136</v>
      </c>
      <c r="AQ73" s="337" t="s">
        <v>136</v>
      </c>
      <c r="AR73" s="508">
        <v>0.25</v>
      </c>
      <c r="AS73" s="309">
        <f t="shared" si="4"/>
        <v>544.5</v>
      </c>
      <c r="AT73" s="530">
        <v>1.1299999999999999</v>
      </c>
      <c r="AU73" s="487"/>
    </row>
    <row r="74" spans="1:47" ht="15.75" customHeight="1" thickTop="1" thickBot="1" x14ac:dyDescent="0.3">
      <c r="A74" s="299" t="s">
        <v>624</v>
      </c>
      <c r="B74" s="423" t="s">
        <v>679</v>
      </c>
      <c r="C74" s="297" t="s">
        <v>578</v>
      </c>
      <c r="D74" s="325">
        <v>1</v>
      </c>
      <c r="E74" s="325">
        <v>0</v>
      </c>
      <c r="F74" s="479"/>
      <c r="G74" s="552">
        <f>IF($G$11=1,P74,0)</f>
        <v>0.03</v>
      </c>
      <c r="H74" s="370"/>
      <c r="I74" s="399">
        <f>$G$2*G74</f>
        <v>0.39</v>
      </c>
      <c r="J74" s="403">
        <v>300</v>
      </c>
      <c r="K74" s="339">
        <v>0</v>
      </c>
      <c r="L74" s="309">
        <f t="shared" si="0"/>
        <v>0</v>
      </c>
      <c r="M74" s="348" t="s">
        <v>136</v>
      </c>
      <c r="N74" s="479"/>
      <c r="O74" s="341" t="s">
        <v>669</v>
      </c>
      <c r="P74" s="404">
        <v>0.03</v>
      </c>
      <c r="Q74" s="370"/>
      <c r="R74" s="519">
        <f>$P$2*P74</f>
        <v>0.39</v>
      </c>
      <c r="S74" s="403">
        <v>300</v>
      </c>
      <c r="T74" s="339">
        <v>0</v>
      </c>
      <c r="U74" s="309">
        <f t="shared" si="9"/>
        <v>0</v>
      </c>
      <c r="V74" s="348" t="s">
        <v>136</v>
      </c>
      <c r="W74" s="341" t="s">
        <v>543</v>
      </c>
      <c r="X74" s="303"/>
      <c r="Y74" s="370"/>
      <c r="Z74" s="540">
        <v>0</v>
      </c>
      <c r="AA74" s="328">
        <v>300</v>
      </c>
      <c r="AB74" s="339">
        <v>0</v>
      </c>
      <c r="AC74" s="309">
        <f t="shared" si="10"/>
        <v>0</v>
      </c>
      <c r="AD74" s="414" t="s">
        <v>136</v>
      </c>
      <c r="AE74" s="341"/>
      <c r="AF74" s="303"/>
      <c r="AG74" s="370"/>
      <c r="AH74" s="339">
        <v>0</v>
      </c>
      <c r="AI74" s="531">
        <v>300</v>
      </c>
      <c r="AJ74" s="339">
        <v>0</v>
      </c>
      <c r="AK74" s="309">
        <f t="shared" si="3"/>
        <v>0</v>
      </c>
      <c r="AL74" s="348" t="s">
        <v>136</v>
      </c>
      <c r="AM74" s="341"/>
      <c r="AN74" s="303"/>
      <c r="AO74" s="370"/>
      <c r="AP74" s="339">
        <v>0</v>
      </c>
      <c r="AQ74" s="531">
        <v>300</v>
      </c>
      <c r="AR74" s="339">
        <v>0</v>
      </c>
      <c r="AS74" s="309">
        <f t="shared" si="4"/>
        <v>0</v>
      </c>
      <c r="AT74" s="348" t="s">
        <v>136</v>
      </c>
      <c r="AU74" s="486"/>
    </row>
    <row r="75" spans="1:47" ht="15.75" customHeight="1" thickTop="1" thickBot="1" x14ac:dyDescent="0.3">
      <c r="A75" s="299" t="s">
        <v>624</v>
      </c>
      <c r="B75" s="423" t="s">
        <v>679</v>
      </c>
      <c r="C75" s="297" t="s">
        <v>578</v>
      </c>
      <c r="D75" s="325">
        <v>1</v>
      </c>
      <c r="E75" s="325">
        <v>1</v>
      </c>
      <c r="F75" s="479"/>
      <c r="G75" s="341"/>
      <c r="H75" s="404">
        <f>IF($H$11=1,Y75,0)</f>
        <v>0</v>
      </c>
      <c r="I75" s="511" t="s">
        <v>136</v>
      </c>
      <c r="J75" s="337" t="s">
        <v>136</v>
      </c>
      <c r="K75" s="493">
        <v>0.44</v>
      </c>
      <c r="L75" s="309">
        <f t="shared" si="0"/>
        <v>0</v>
      </c>
      <c r="M75" s="415">
        <v>1.1299999999999999</v>
      </c>
      <c r="N75" s="479"/>
      <c r="O75" s="341" t="s">
        <v>543</v>
      </c>
      <c r="P75" s="303"/>
      <c r="Q75" s="370"/>
      <c r="R75" s="511" t="s">
        <v>136</v>
      </c>
      <c r="S75" s="337" t="s">
        <v>136</v>
      </c>
      <c r="T75" s="508">
        <v>0.44</v>
      </c>
      <c r="U75" s="309">
        <f t="shared" si="9"/>
        <v>0</v>
      </c>
      <c r="V75" s="530">
        <v>1.1299999999999999</v>
      </c>
      <c r="W75" s="341" t="s">
        <v>669</v>
      </c>
      <c r="X75" s="303"/>
      <c r="Y75" s="404">
        <v>0.1</v>
      </c>
      <c r="Z75" s="365" t="s">
        <v>136</v>
      </c>
      <c r="AA75" s="337" t="s">
        <v>136</v>
      </c>
      <c r="AB75" s="493">
        <v>0.44</v>
      </c>
      <c r="AC75" s="309">
        <f t="shared" si="10"/>
        <v>1916.64</v>
      </c>
      <c r="AD75" s="415">
        <v>1.1299999999999999</v>
      </c>
      <c r="AE75" s="341"/>
      <c r="AF75" s="303"/>
      <c r="AG75" s="370"/>
      <c r="AH75" s="365" t="s">
        <v>136</v>
      </c>
      <c r="AI75" s="337" t="s">
        <v>136</v>
      </c>
      <c r="AJ75" s="508">
        <v>0.44</v>
      </c>
      <c r="AK75" s="309">
        <f t="shared" ref="AK75:AK99" si="12">AJ75*(43560*AG75)</f>
        <v>0</v>
      </c>
      <c r="AL75" s="530">
        <v>1.1299999999999999</v>
      </c>
      <c r="AM75" s="341"/>
      <c r="AN75" s="303"/>
      <c r="AO75" s="370"/>
      <c r="AP75" s="365" t="s">
        <v>136</v>
      </c>
      <c r="AQ75" s="337" t="s">
        <v>136</v>
      </c>
      <c r="AR75" s="508">
        <v>0.44</v>
      </c>
      <c r="AS75" s="309">
        <f t="shared" ref="AS75:AS98" si="13">AR75*(43560*AO75)</f>
        <v>0</v>
      </c>
      <c r="AT75" s="432" t="s">
        <v>136</v>
      </c>
      <c r="AU75" s="487"/>
    </row>
    <row r="76" spans="1:47" ht="15.75" customHeight="1" thickTop="1" thickBot="1" x14ac:dyDescent="0.3">
      <c r="A76" s="299" t="s">
        <v>624</v>
      </c>
      <c r="B76" s="423" t="s">
        <v>579</v>
      </c>
      <c r="C76" s="302" t="s">
        <v>580</v>
      </c>
      <c r="D76" s="325">
        <v>1</v>
      </c>
      <c r="E76" s="325">
        <v>0</v>
      </c>
      <c r="F76" s="479"/>
      <c r="G76" s="341"/>
      <c r="H76" s="370"/>
      <c r="I76" s="516" t="s">
        <v>136</v>
      </c>
      <c r="J76" s="531">
        <v>450</v>
      </c>
      <c r="K76" s="339">
        <v>0</v>
      </c>
      <c r="L76" s="309">
        <f t="shared" si="0"/>
        <v>0</v>
      </c>
      <c r="M76" s="348" t="s">
        <v>136</v>
      </c>
      <c r="N76" s="479"/>
      <c r="O76" s="341" t="s">
        <v>669</v>
      </c>
      <c r="P76" s="303"/>
      <c r="Q76" s="370"/>
      <c r="R76" s="516" t="s">
        <v>136</v>
      </c>
      <c r="S76" s="531">
        <v>450</v>
      </c>
      <c r="T76" s="339">
        <v>0</v>
      </c>
      <c r="U76" s="309">
        <f t="shared" si="9"/>
        <v>0</v>
      </c>
      <c r="V76" s="348" t="s">
        <v>136</v>
      </c>
      <c r="W76" s="341"/>
      <c r="X76" s="303"/>
      <c r="Y76" s="370"/>
      <c r="Z76" s="540">
        <v>0</v>
      </c>
      <c r="AA76" s="531">
        <v>450</v>
      </c>
      <c r="AB76" s="339">
        <v>0</v>
      </c>
      <c r="AC76" s="309">
        <f t="shared" si="10"/>
        <v>0</v>
      </c>
      <c r="AD76" s="414" t="s">
        <v>136</v>
      </c>
      <c r="AE76" s="341" t="s">
        <v>543</v>
      </c>
      <c r="AF76" s="404">
        <v>0.08</v>
      </c>
      <c r="AG76" s="370"/>
      <c r="AH76" s="418">
        <f>$AF$2*AF76</f>
        <v>1.04</v>
      </c>
      <c r="AI76" s="403">
        <v>450</v>
      </c>
      <c r="AJ76" s="339">
        <v>0</v>
      </c>
      <c r="AK76" s="309">
        <f t="shared" si="12"/>
        <v>0</v>
      </c>
      <c r="AL76" s="348" t="s">
        <v>136</v>
      </c>
      <c r="AM76" s="341" t="s">
        <v>543</v>
      </c>
      <c r="AN76" s="303"/>
      <c r="AO76" s="370"/>
      <c r="AP76" s="416" t="s">
        <v>136</v>
      </c>
      <c r="AQ76" s="531">
        <v>450</v>
      </c>
      <c r="AR76" s="339">
        <v>0</v>
      </c>
      <c r="AS76" s="309">
        <f t="shared" si="13"/>
        <v>0</v>
      </c>
      <c r="AT76" s="348" t="s">
        <v>136</v>
      </c>
      <c r="AU76" s="486"/>
    </row>
    <row r="77" spans="1:47" ht="15.75" customHeight="1" thickTop="1" thickBot="1" x14ac:dyDescent="0.3">
      <c r="A77" s="299" t="s">
        <v>624</v>
      </c>
      <c r="B77" s="423" t="s">
        <v>579</v>
      </c>
      <c r="C77" s="302" t="s">
        <v>580</v>
      </c>
      <c r="D77" s="325">
        <v>1</v>
      </c>
      <c r="E77" s="325">
        <v>1</v>
      </c>
      <c r="F77" s="479"/>
      <c r="G77" s="341"/>
      <c r="H77" s="370"/>
      <c r="I77" s="511" t="s">
        <v>136</v>
      </c>
      <c r="J77" s="337" t="s">
        <v>136</v>
      </c>
      <c r="K77" s="508">
        <v>0.44</v>
      </c>
      <c r="L77" s="309">
        <f t="shared" si="0"/>
        <v>0</v>
      </c>
      <c r="M77" s="537">
        <v>1.1299999999999999</v>
      </c>
      <c r="N77" s="479"/>
      <c r="O77" s="341" t="s">
        <v>543</v>
      </c>
      <c r="P77" s="303"/>
      <c r="Q77" s="370"/>
      <c r="R77" s="511" t="s">
        <v>136</v>
      </c>
      <c r="S77" s="337" t="s">
        <v>136</v>
      </c>
      <c r="T77" s="508">
        <v>0.44</v>
      </c>
      <c r="U77" s="309">
        <f t="shared" ref="U77" si="14">T77*(43560*Q77)</f>
        <v>0</v>
      </c>
      <c r="V77" s="530">
        <v>1.1299999999999999</v>
      </c>
      <c r="W77" s="341" t="s">
        <v>669</v>
      </c>
      <c r="X77" s="303"/>
      <c r="Y77" s="370"/>
      <c r="Z77" s="365" t="s">
        <v>136</v>
      </c>
      <c r="AA77" s="337" t="s">
        <v>136</v>
      </c>
      <c r="AB77" s="508">
        <v>0.44</v>
      </c>
      <c r="AC77" s="309">
        <f t="shared" si="10"/>
        <v>0</v>
      </c>
      <c r="AD77" s="530">
        <v>1.1299999999999999</v>
      </c>
      <c r="AE77" s="341" t="s">
        <v>543</v>
      </c>
      <c r="AF77" s="303"/>
      <c r="AG77" s="370"/>
      <c r="AH77" s="365" t="s">
        <v>136</v>
      </c>
      <c r="AI77" s="337" t="s">
        <v>136</v>
      </c>
      <c r="AJ77" s="508">
        <v>0.44</v>
      </c>
      <c r="AK77" s="309">
        <f t="shared" si="12"/>
        <v>0</v>
      </c>
      <c r="AL77" s="530">
        <v>1.1299999999999999</v>
      </c>
      <c r="AM77" s="341" t="s">
        <v>543</v>
      </c>
      <c r="AN77" s="303"/>
      <c r="AO77" s="404">
        <v>0.1</v>
      </c>
      <c r="AP77" s="365" t="s">
        <v>136</v>
      </c>
      <c r="AQ77" s="337" t="s">
        <v>136</v>
      </c>
      <c r="AR77" s="493">
        <v>0.25</v>
      </c>
      <c r="AS77" s="309">
        <f t="shared" si="13"/>
        <v>1089</v>
      </c>
      <c r="AT77" s="420">
        <v>1.1299999999999999</v>
      </c>
      <c r="AU77" s="488"/>
    </row>
    <row r="78" spans="1:47" ht="15.75" customHeight="1" thickTop="1" x14ac:dyDescent="0.25">
      <c r="A78" s="299" t="s">
        <v>624</v>
      </c>
      <c r="B78" s="423" t="s">
        <v>615</v>
      </c>
      <c r="C78" s="302" t="s">
        <v>614</v>
      </c>
      <c r="D78" s="325">
        <v>1</v>
      </c>
      <c r="E78" s="325">
        <v>0</v>
      </c>
      <c r="F78" s="479"/>
      <c r="G78" s="341"/>
      <c r="H78" s="370"/>
      <c r="I78" s="327" t="s">
        <v>136</v>
      </c>
      <c r="J78" s="327">
        <v>300</v>
      </c>
      <c r="K78" s="331">
        <v>0</v>
      </c>
      <c r="L78" s="309">
        <f t="shared" si="0"/>
        <v>0</v>
      </c>
      <c r="M78" s="350" t="s">
        <v>136</v>
      </c>
      <c r="N78" s="479"/>
      <c r="O78" s="341"/>
      <c r="P78" s="303"/>
      <c r="Q78" s="370"/>
      <c r="R78" s="327" t="s">
        <v>136</v>
      </c>
      <c r="S78" s="327">
        <v>300</v>
      </c>
      <c r="T78" s="331">
        <v>0</v>
      </c>
      <c r="U78" s="309">
        <f t="shared" si="9"/>
        <v>0</v>
      </c>
      <c r="V78" s="350" t="s">
        <v>136</v>
      </c>
      <c r="W78" s="341"/>
      <c r="X78" s="303"/>
      <c r="Y78" s="370"/>
      <c r="Z78" s="327" t="s">
        <v>136</v>
      </c>
      <c r="AA78" s="327">
        <v>300</v>
      </c>
      <c r="AB78" s="331">
        <v>0</v>
      </c>
      <c r="AC78" s="309">
        <f t="shared" si="10"/>
        <v>0</v>
      </c>
      <c r="AD78" s="412" t="s">
        <v>136</v>
      </c>
      <c r="AE78" s="341"/>
      <c r="AF78" s="303"/>
      <c r="AG78" s="370"/>
      <c r="AH78" s="327" t="s">
        <v>136</v>
      </c>
      <c r="AI78" s="327" t="s">
        <v>136</v>
      </c>
      <c r="AJ78" s="331">
        <v>0</v>
      </c>
      <c r="AK78" s="309">
        <f t="shared" si="12"/>
        <v>0</v>
      </c>
      <c r="AL78" s="350" t="s">
        <v>136</v>
      </c>
      <c r="AM78" s="341"/>
      <c r="AN78" s="303"/>
      <c r="AO78" s="370"/>
      <c r="AP78" s="327" t="s">
        <v>136</v>
      </c>
      <c r="AQ78" s="327" t="s">
        <v>136</v>
      </c>
      <c r="AR78" s="331">
        <v>0</v>
      </c>
      <c r="AS78" s="309">
        <f t="shared" si="13"/>
        <v>0</v>
      </c>
      <c r="AT78" s="350" t="s">
        <v>136</v>
      </c>
      <c r="AU78" s="486"/>
    </row>
    <row r="79" spans="1:47" ht="15.75" customHeight="1" thickBot="1" x14ac:dyDescent="0.3">
      <c r="A79" s="299" t="s">
        <v>624</v>
      </c>
      <c r="B79" s="423" t="s">
        <v>615</v>
      </c>
      <c r="C79" s="302" t="s">
        <v>614</v>
      </c>
      <c r="D79" s="325">
        <v>1</v>
      </c>
      <c r="E79" s="325">
        <v>1</v>
      </c>
      <c r="F79" s="479"/>
      <c r="G79" s="341"/>
      <c r="H79" s="370"/>
      <c r="I79" s="335" t="s">
        <v>136</v>
      </c>
      <c r="J79" s="335" t="s">
        <v>136</v>
      </c>
      <c r="K79" s="510">
        <v>0.44</v>
      </c>
      <c r="L79" s="309">
        <f t="shared" ref="L79:L99" si="15">K79*(43560*H79)</f>
        <v>0</v>
      </c>
      <c r="M79" s="349">
        <v>1.1299999999999999</v>
      </c>
      <c r="N79" s="479"/>
      <c r="O79" s="341"/>
      <c r="P79" s="303"/>
      <c r="Q79" s="370"/>
      <c r="R79" s="335" t="s">
        <v>136</v>
      </c>
      <c r="S79" s="335" t="s">
        <v>136</v>
      </c>
      <c r="T79" s="510">
        <v>0.44</v>
      </c>
      <c r="U79" s="309">
        <f t="shared" si="9"/>
        <v>0</v>
      </c>
      <c r="V79" s="349">
        <v>1.1299999999999999</v>
      </c>
      <c r="W79" s="341"/>
      <c r="X79" s="303"/>
      <c r="Y79" s="370"/>
      <c r="Z79" s="335" t="s">
        <v>136</v>
      </c>
      <c r="AA79" s="335" t="s">
        <v>136</v>
      </c>
      <c r="AB79" s="508">
        <v>0.44</v>
      </c>
      <c r="AC79" s="309">
        <f t="shared" si="10"/>
        <v>0</v>
      </c>
      <c r="AD79" s="530">
        <v>1.1299999999999999</v>
      </c>
      <c r="AE79" s="341"/>
      <c r="AF79" s="303"/>
      <c r="AG79" s="370"/>
      <c r="AH79" s="335" t="s">
        <v>136</v>
      </c>
      <c r="AI79" s="335" t="s">
        <v>136</v>
      </c>
      <c r="AJ79" s="336">
        <v>0</v>
      </c>
      <c r="AK79" s="309">
        <f t="shared" si="12"/>
        <v>0</v>
      </c>
      <c r="AL79" s="349" t="s">
        <v>136</v>
      </c>
      <c r="AM79" s="341"/>
      <c r="AN79" s="303"/>
      <c r="AO79" s="370"/>
      <c r="AP79" s="335" t="s">
        <v>136</v>
      </c>
      <c r="AQ79" s="335" t="s">
        <v>136</v>
      </c>
      <c r="AR79" s="336">
        <v>0</v>
      </c>
      <c r="AS79" s="309">
        <f t="shared" si="13"/>
        <v>0</v>
      </c>
      <c r="AT79" s="349" t="s">
        <v>136</v>
      </c>
      <c r="AU79" s="486"/>
    </row>
    <row r="80" spans="1:47" ht="15.75" customHeight="1" thickTop="1" thickBot="1" x14ac:dyDescent="0.3">
      <c r="A80" s="299" t="s">
        <v>624</v>
      </c>
      <c r="B80" s="423" t="s">
        <v>581</v>
      </c>
      <c r="C80" s="297" t="s">
        <v>582</v>
      </c>
      <c r="D80" s="325">
        <v>1</v>
      </c>
      <c r="E80" s="325">
        <v>0</v>
      </c>
      <c r="F80" s="479"/>
      <c r="G80" s="341"/>
      <c r="H80" s="370"/>
      <c r="I80" s="326">
        <v>0</v>
      </c>
      <c r="J80" s="531">
        <v>150</v>
      </c>
      <c r="K80" s="339">
        <v>0</v>
      </c>
      <c r="L80" s="309">
        <f t="shared" si="15"/>
        <v>0</v>
      </c>
      <c r="M80" s="348" t="s">
        <v>136</v>
      </c>
      <c r="N80" s="479"/>
      <c r="O80" s="341"/>
      <c r="P80" s="303"/>
      <c r="Q80" s="370"/>
      <c r="R80" s="326">
        <v>0</v>
      </c>
      <c r="S80" s="531">
        <v>150</v>
      </c>
      <c r="T80" s="339">
        <v>0</v>
      </c>
      <c r="U80" s="309">
        <f t="shared" si="9"/>
        <v>0</v>
      </c>
      <c r="V80" s="348" t="s">
        <v>136</v>
      </c>
      <c r="W80" s="341"/>
      <c r="X80" s="303"/>
      <c r="Y80" s="370"/>
      <c r="Z80" s="540">
        <v>0</v>
      </c>
      <c r="AA80" s="516">
        <v>150</v>
      </c>
      <c r="AB80" s="339">
        <v>0</v>
      </c>
      <c r="AC80" s="309">
        <f t="shared" si="10"/>
        <v>0</v>
      </c>
      <c r="AD80" s="414" t="s">
        <v>136</v>
      </c>
      <c r="AE80" s="341" t="s">
        <v>543</v>
      </c>
      <c r="AF80" s="404">
        <v>0.05</v>
      </c>
      <c r="AG80" s="370"/>
      <c r="AH80" s="418">
        <f>$AF$2*AF80</f>
        <v>0.65</v>
      </c>
      <c r="AI80" s="403">
        <v>150</v>
      </c>
      <c r="AJ80" s="339">
        <v>0</v>
      </c>
      <c r="AK80" s="309">
        <f t="shared" si="12"/>
        <v>0</v>
      </c>
      <c r="AL80" s="348" t="s">
        <v>136</v>
      </c>
      <c r="AM80" s="341" t="s">
        <v>543</v>
      </c>
      <c r="AN80" s="404">
        <v>0</v>
      </c>
      <c r="AO80" s="370"/>
      <c r="AP80" s="339">
        <v>0</v>
      </c>
      <c r="AQ80" s="403">
        <v>150</v>
      </c>
      <c r="AR80" s="339">
        <v>0</v>
      </c>
      <c r="AS80" s="309">
        <f t="shared" si="13"/>
        <v>0</v>
      </c>
      <c r="AT80" s="348" t="s">
        <v>136</v>
      </c>
      <c r="AU80" s="486"/>
    </row>
    <row r="81" spans="1:47" ht="15.75" customHeight="1" thickTop="1" thickBot="1" x14ac:dyDescent="0.3">
      <c r="A81" s="299" t="s">
        <v>624</v>
      </c>
      <c r="B81" s="423" t="s">
        <v>581</v>
      </c>
      <c r="C81" s="297" t="s">
        <v>582</v>
      </c>
      <c r="D81" s="325">
        <v>1</v>
      </c>
      <c r="E81" s="325">
        <v>1</v>
      </c>
      <c r="F81" s="479"/>
      <c r="G81" s="341"/>
      <c r="H81" s="370"/>
      <c r="I81" s="335" t="s">
        <v>136</v>
      </c>
      <c r="J81" s="335" t="s">
        <v>136</v>
      </c>
      <c r="K81" s="510">
        <v>0.25</v>
      </c>
      <c r="L81" s="309">
        <f t="shared" si="15"/>
        <v>0</v>
      </c>
      <c r="M81" s="349">
        <v>1.1299999999999999</v>
      </c>
      <c r="N81" s="479"/>
      <c r="O81" s="341"/>
      <c r="P81" s="303"/>
      <c r="Q81" s="370"/>
      <c r="R81" s="335" t="s">
        <v>136</v>
      </c>
      <c r="S81" s="335" t="s">
        <v>136</v>
      </c>
      <c r="T81" s="510">
        <v>0.25</v>
      </c>
      <c r="U81" s="309">
        <f t="shared" si="9"/>
        <v>0</v>
      </c>
      <c r="V81" s="349">
        <v>1.1299999999999999</v>
      </c>
      <c r="W81" s="341"/>
      <c r="X81" s="303"/>
      <c r="Y81" s="370"/>
      <c r="Z81" s="335" t="s">
        <v>136</v>
      </c>
      <c r="AA81" s="335" t="s">
        <v>136</v>
      </c>
      <c r="AB81" s="510">
        <v>0.25</v>
      </c>
      <c r="AC81" s="309">
        <f t="shared" si="10"/>
        <v>0</v>
      </c>
      <c r="AD81" s="349">
        <v>1.1299999999999999</v>
      </c>
      <c r="AE81" s="341"/>
      <c r="AF81" s="303"/>
      <c r="AG81" s="370"/>
      <c r="AH81" s="335" t="s">
        <v>136</v>
      </c>
      <c r="AI81" s="335" t="s">
        <v>136</v>
      </c>
      <c r="AJ81" s="510">
        <v>0.25</v>
      </c>
      <c r="AK81" s="309">
        <f t="shared" si="12"/>
        <v>0</v>
      </c>
      <c r="AL81" s="349">
        <v>1.1299999999999999</v>
      </c>
      <c r="AM81" s="341"/>
      <c r="AN81" s="303"/>
      <c r="AO81" s="428">
        <v>0.05</v>
      </c>
      <c r="AP81" s="335" t="s">
        <v>136</v>
      </c>
      <c r="AQ81" s="335" t="s">
        <v>136</v>
      </c>
      <c r="AR81" s="510">
        <v>0.25</v>
      </c>
      <c r="AS81" s="309">
        <f t="shared" si="13"/>
        <v>544.5</v>
      </c>
      <c r="AT81" s="420">
        <v>1.1299999999999999</v>
      </c>
      <c r="AU81" s="486"/>
    </row>
    <row r="82" spans="1:47" ht="15.75" customHeight="1" thickTop="1" thickBot="1" x14ac:dyDescent="0.3">
      <c r="A82" s="299" t="s">
        <v>624</v>
      </c>
      <c r="B82" s="423" t="s">
        <v>583</v>
      </c>
      <c r="C82" s="297" t="s">
        <v>584</v>
      </c>
      <c r="D82" s="325">
        <v>1</v>
      </c>
      <c r="E82" s="325">
        <v>0</v>
      </c>
      <c r="F82" s="479"/>
      <c r="G82" s="341"/>
      <c r="H82" s="370"/>
      <c r="I82" s="327" t="s">
        <v>136</v>
      </c>
      <c r="J82" s="327">
        <v>300</v>
      </c>
      <c r="K82" s="331">
        <v>0</v>
      </c>
      <c r="L82" s="309">
        <f t="shared" si="15"/>
        <v>0</v>
      </c>
      <c r="M82" s="350" t="s">
        <v>136</v>
      </c>
      <c r="N82" s="479"/>
      <c r="O82" s="341"/>
      <c r="P82" s="303"/>
      <c r="Q82" s="370"/>
      <c r="R82" s="327" t="s">
        <v>136</v>
      </c>
      <c r="S82" s="327">
        <v>300</v>
      </c>
      <c r="T82" s="331">
        <v>0</v>
      </c>
      <c r="U82" s="309">
        <f t="shared" si="9"/>
        <v>0</v>
      </c>
      <c r="V82" s="350" t="s">
        <v>136</v>
      </c>
      <c r="W82" s="341"/>
      <c r="X82" s="303"/>
      <c r="Y82" s="370"/>
      <c r="Z82" s="327" t="s">
        <v>136</v>
      </c>
      <c r="AA82" s="327">
        <v>300</v>
      </c>
      <c r="AB82" s="331">
        <v>0</v>
      </c>
      <c r="AC82" s="309">
        <f t="shared" si="10"/>
        <v>0</v>
      </c>
      <c r="AD82" s="412" t="s">
        <v>136</v>
      </c>
      <c r="AE82" s="341"/>
      <c r="AF82" s="303"/>
      <c r="AG82" s="370"/>
      <c r="AH82" s="327" t="s">
        <v>136</v>
      </c>
      <c r="AI82" s="327">
        <v>300</v>
      </c>
      <c r="AJ82" s="331">
        <v>0</v>
      </c>
      <c r="AK82" s="309">
        <f t="shared" si="12"/>
        <v>0</v>
      </c>
      <c r="AL82" s="350" t="s">
        <v>136</v>
      </c>
      <c r="AM82" s="341"/>
      <c r="AN82" s="303"/>
      <c r="AO82" s="370"/>
      <c r="AP82" s="327" t="s">
        <v>136</v>
      </c>
      <c r="AQ82" s="327">
        <v>300</v>
      </c>
      <c r="AR82" s="331">
        <v>0</v>
      </c>
      <c r="AS82" s="309">
        <f t="shared" si="13"/>
        <v>0</v>
      </c>
      <c r="AT82" s="350" t="s">
        <v>136</v>
      </c>
      <c r="AU82" s="486"/>
    </row>
    <row r="83" spans="1:47" ht="15.75" customHeight="1" thickTop="1" thickBot="1" x14ac:dyDescent="0.3">
      <c r="A83" s="299" t="s">
        <v>624</v>
      </c>
      <c r="B83" s="423" t="s">
        <v>583</v>
      </c>
      <c r="C83" s="297" t="s">
        <v>584</v>
      </c>
      <c r="D83" s="325">
        <v>1</v>
      </c>
      <c r="E83" s="325">
        <v>1</v>
      </c>
      <c r="F83" s="479"/>
      <c r="G83" s="341"/>
      <c r="H83" s="370"/>
      <c r="I83" s="511" t="s">
        <v>136</v>
      </c>
      <c r="J83" s="337" t="s">
        <v>136</v>
      </c>
      <c r="K83" s="508">
        <v>0.44</v>
      </c>
      <c r="L83" s="309">
        <f t="shared" si="15"/>
        <v>0</v>
      </c>
      <c r="M83" s="537">
        <v>1.1299999999999999</v>
      </c>
      <c r="N83" s="479"/>
      <c r="O83" s="341"/>
      <c r="P83" s="303"/>
      <c r="Q83" s="370"/>
      <c r="R83" s="511" t="s">
        <v>136</v>
      </c>
      <c r="S83" s="337" t="s">
        <v>136</v>
      </c>
      <c r="T83" s="508">
        <v>0.44</v>
      </c>
      <c r="U83" s="309">
        <f t="shared" si="9"/>
        <v>0</v>
      </c>
      <c r="V83" s="530">
        <v>1.1299999999999999</v>
      </c>
      <c r="W83" s="341"/>
      <c r="X83" s="303"/>
      <c r="Y83" s="370"/>
      <c r="Z83" s="365" t="s">
        <v>136</v>
      </c>
      <c r="AA83" s="337" t="s">
        <v>136</v>
      </c>
      <c r="AB83" s="508">
        <v>0.44</v>
      </c>
      <c r="AC83" s="309">
        <f t="shared" si="10"/>
        <v>0</v>
      </c>
      <c r="AD83" s="530">
        <v>1.1299999999999999</v>
      </c>
      <c r="AE83" s="341" t="s">
        <v>665</v>
      </c>
      <c r="AF83" s="303"/>
      <c r="AG83" s="428">
        <v>0</v>
      </c>
      <c r="AH83" s="365" t="s">
        <v>136</v>
      </c>
      <c r="AI83" s="337" t="s">
        <v>136</v>
      </c>
      <c r="AJ83" s="493">
        <v>0.25</v>
      </c>
      <c r="AK83" s="309">
        <f t="shared" si="12"/>
        <v>0</v>
      </c>
      <c r="AL83" s="420">
        <v>1.1299999999999999</v>
      </c>
      <c r="AM83" s="341" t="s">
        <v>665</v>
      </c>
      <c r="AN83" s="303"/>
      <c r="AO83" s="428">
        <v>0</v>
      </c>
      <c r="AP83" s="365" t="s">
        <v>136</v>
      </c>
      <c r="AQ83" s="337" t="s">
        <v>136</v>
      </c>
      <c r="AR83" s="493">
        <v>0.25</v>
      </c>
      <c r="AS83" s="309">
        <f t="shared" si="13"/>
        <v>0</v>
      </c>
      <c r="AT83" s="420">
        <v>1.1299999999999999</v>
      </c>
      <c r="AU83" s="488"/>
    </row>
    <row r="84" spans="1:47" ht="15.75" customHeight="1" thickTop="1" thickBot="1" x14ac:dyDescent="0.3">
      <c r="A84" s="299" t="s">
        <v>624</v>
      </c>
      <c r="B84" s="423" t="s">
        <v>585</v>
      </c>
      <c r="C84" s="297" t="s">
        <v>586</v>
      </c>
      <c r="D84" s="325">
        <v>1</v>
      </c>
      <c r="E84" s="325">
        <v>0</v>
      </c>
      <c r="F84" s="479"/>
      <c r="G84" s="341"/>
      <c r="H84" s="370"/>
      <c r="I84" s="327" t="s">
        <v>136</v>
      </c>
      <c r="J84" s="327">
        <v>300</v>
      </c>
      <c r="K84" s="331">
        <v>0</v>
      </c>
      <c r="L84" s="309">
        <f t="shared" si="15"/>
        <v>0</v>
      </c>
      <c r="M84" s="350" t="s">
        <v>136</v>
      </c>
      <c r="N84" s="479"/>
      <c r="O84" s="341"/>
      <c r="P84" s="303"/>
      <c r="Q84" s="370"/>
      <c r="R84" s="327" t="s">
        <v>136</v>
      </c>
      <c r="S84" s="327">
        <v>300</v>
      </c>
      <c r="T84" s="331">
        <v>0</v>
      </c>
      <c r="U84" s="309">
        <f t="shared" si="9"/>
        <v>0</v>
      </c>
      <c r="V84" s="350" t="s">
        <v>136</v>
      </c>
      <c r="W84" s="341"/>
      <c r="X84" s="303"/>
      <c r="Y84" s="370"/>
      <c r="Z84" s="327" t="s">
        <v>136</v>
      </c>
      <c r="AA84" s="327" t="s">
        <v>136</v>
      </c>
      <c r="AB84" s="331">
        <v>0</v>
      </c>
      <c r="AC84" s="309">
        <f t="shared" si="10"/>
        <v>0</v>
      </c>
      <c r="AD84" s="412" t="s">
        <v>136</v>
      </c>
      <c r="AE84" s="341"/>
      <c r="AF84" s="404">
        <v>0.03</v>
      </c>
      <c r="AG84" s="370"/>
      <c r="AH84" s="327" t="s">
        <v>136</v>
      </c>
      <c r="AI84" s="327">
        <v>300</v>
      </c>
      <c r="AJ84" s="331">
        <v>0</v>
      </c>
      <c r="AK84" s="309">
        <f t="shared" si="12"/>
        <v>0</v>
      </c>
      <c r="AL84" s="350" t="s">
        <v>136</v>
      </c>
      <c r="AM84" s="341"/>
      <c r="AN84" s="303"/>
      <c r="AO84" s="370"/>
      <c r="AP84" s="327" t="s">
        <v>136</v>
      </c>
      <c r="AQ84" s="327">
        <v>300</v>
      </c>
      <c r="AR84" s="331">
        <v>0</v>
      </c>
      <c r="AS84" s="309">
        <f t="shared" si="13"/>
        <v>0</v>
      </c>
      <c r="AT84" s="350" t="s">
        <v>136</v>
      </c>
      <c r="AU84" s="486"/>
    </row>
    <row r="85" spans="1:47" ht="15.75" customHeight="1" thickTop="1" thickBot="1" x14ac:dyDescent="0.3">
      <c r="A85" s="299" t="s">
        <v>624</v>
      </c>
      <c r="B85" s="423" t="s">
        <v>585</v>
      </c>
      <c r="C85" s="297" t="s">
        <v>586</v>
      </c>
      <c r="D85" s="325">
        <v>1</v>
      </c>
      <c r="E85" s="325">
        <v>1</v>
      </c>
      <c r="F85" s="479"/>
      <c r="G85" s="341"/>
      <c r="H85" s="370"/>
      <c r="I85" s="511" t="s">
        <v>136</v>
      </c>
      <c r="J85" s="337" t="s">
        <v>136</v>
      </c>
      <c r="K85" s="508">
        <v>0.44</v>
      </c>
      <c r="L85" s="309">
        <f t="shared" si="15"/>
        <v>0</v>
      </c>
      <c r="M85" s="537">
        <v>1.1299999999999999</v>
      </c>
      <c r="N85" s="479"/>
      <c r="O85" s="341"/>
      <c r="P85" s="303"/>
      <c r="Q85" s="370"/>
      <c r="R85" s="511" t="s">
        <v>136</v>
      </c>
      <c r="S85" s="337" t="s">
        <v>136</v>
      </c>
      <c r="T85" s="508">
        <v>0.44</v>
      </c>
      <c r="U85" s="309">
        <f t="shared" si="9"/>
        <v>0</v>
      </c>
      <c r="V85" s="530">
        <v>1.1299999999999999</v>
      </c>
      <c r="W85" s="341"/>
      <c r="X85" s="303"/>
      <c r="Y85" s="370"/>
      <c r="Z85" s="365" t="s">
        <v>136</v>
      </c>
      <c r="AA85" s="337" t="s">
        <v>136</v>
      </c>
      <c r="AB85" s="508">
        <v>0.44</v>
      </c>
      <c r="AC85" s="309">
        <f t="shared" si="10"/>
        <v>0</v>
      </c>
      <c r="AD85" s="530">
        <v>1.1299999999999999</v>
      </c>
      <c r="AE85" s="341" t="s">
        <v>665</v>
      </c>
      <c r="AF85" s="303"/>
      <c r="AG85" s="428">
        <v>0</v>
      </c>
      <c r="AH85" s="365" t="s">
        <v>136</v>
      </c>
      <c r="AI85" s="337" t="s">
        <v>136</v>
      </c>
      <c r="AJ85" s="528">
        <v>0.25</v>
      </c>
      <c r="AK85" s="309">
        <f t="shared" si="12"/>
        <v>0</v>
      </c>
      <c r="AL85" s="420">
        <v>1.1299999999999999</v>
      </c>
      <c r="AM85" s="341" t="s">
        <v>665</v>
      </c>
      <c r="AN85" s="303"/>
      <c r="AO85" s="428">
        <v>0.08</v>
      </c>
      <c r="AP85" s="365" t="s">
        <v>136</v>
      </c>
      <c r="AQ85" s="337" t="s">
        <v>136</v>
      </c>
      <c r="AR85" s="493">
        <v>0.25</v>
      </c>
      <c r="AS85" s="309">
        <f t="shared" si="13"/>
        <v>871.2</v>
      </c>
      <c r="AT85" s="420">
        <v>1.1299999999999999</v>
      </c>
      <c r="AU85" s="488"/>
    </row>
    <row r="86" spans="1:47" ht="15.75" customHeight="1" thickTop="1" thickBot="1" x14ac:dyDescent="0.3">
      <c r="A86" s="299" t="s">
        <v>624</v>
      </c>
      <c r="B86" s="423" t="s">
        <v>587</v>
      </c>
      <c r="C86" s="297" t="s">
        <v>588</v>
      </c>
      <c r="D86" s="325">
        <v>1</v>
      </c>
      <c r="E86" s="325">
        <v>0</v>
      </c>
      <c r="F86" s="479"/>
      <c r="G86" s="341"/>
      <c r="H86" s="370"/>
      <c r="I86" s="535">
        <v>0</v>
      </c>
      <c r="J86" s="327">
        <v>600</v>
      </c>
      <c r="K86" s="331">
        <v>0</v>
      </c>
      <c r="L86" s="309">
        <f t="shared" si="15"/>
        <v>0</v>
      </c>
      <c r="M86" s="350" t="s">
        <v>136</v>
      </c>
      <c r="N86" s="479"/>
      <c r="O86" s="341"/>
      <c r="P86" s="303"/>
      <c r="Q86" s="370"/>
      <c r="R86" s="535">
        <v>0</v>
      </c>
      <c r="S86" s="327">
        <v>600</v>
      </c>
      <c r="T86" s="331">
        <v>0</v>
      </c>
      <c r="U86" s="309">
        <f t="shared" si="9"/>
        <v>0</v>
      </c>
      <c r="V86" s="350" t="s">
        <v>136</v>
      </c>
      <c r="W86" s="341"/>
      <c r="X86" s="303"/>
      <c r="Y86" s="370"/>
      <c r="Z86" s="538">
        <v>0</v>
      </c>
      <c r="AA86" s="327">
        <v>600</v>
      </c>
      <c r="AB86" s="331">
        <v>0</v>
      </c>
      <c r="AC86" s="309">
        <f t="shared" si="10"/>
        <v>0</v>
      </c>
      <c r="AD86" s="412" t="s">
        <v>136</v>
      </c>
      <c r="AE86" s="434" t="s">
        <v>543</v>
      </c>
      <c r="AF86" s="404">
        <v>0.03</v>
      </c>
      <c r="AG86" s="430"/>
      <c r="AH86" s="425">
        <f>$AF$2*AF86</f>
        <v>0.39</v>
      </c>
      <c r="AI86" s="435">
        <v>600</v>
      </c>
      <c r="AJ86" s="331">
        <v>0</v>
      </c>
      <c r="AK86" s="309">
        <f t="shared" si="12"/>
        <v>0</v>
      </c>
      <c r="AL86" s="350" t="s">
        <v>136</v>
      </c>
      <c r="AM86" s="434" t="s">
        <v>543</v>
      </c>
      <c r="AN86" s="346"/>
      <c r="AO86" s="430"/>
      <c r="AP86" s="538">
        <v>0</v>
      </c>
      <c r="AQ86" s="327">
        <v>600</v>
      </c>
      <c r="AR86" s="331">
        <v>0</v>
      </c>
      <c r="AS86" s="309">
        <f t="shared" si="13"/>
        <v>0</v>
      </c>
      <c r="AT86" s="350" t="s">
        <v>136</v>
      </c>
      <c r="AU86" s="486"/>
    </row>
    <row r="87" spans="1:47" ht="15.75" customHeight="1" thickTop="1" thickBot="1" x14ac:dyDescent="0.3">
      <c r="A87" s="299" t="s">
        <v>624</v>
      </c>
      <c r="B87" s="423" t="s">
        <v>587</v>
      </c>
      <c r="C87" s="297" t="s">
        <v>588</v>
      </c>
      <c r="D87" s="325">
        <v>1</v>
      </c>
      <c r="E87" s="325">
        <v>1</v>
      </c>
      <c r="F87" s="479"/>
      <c r="G87" s="341"/>
      <c r="H87" s="370"/>
      <c r="I87" s="335" t="s">
        <v>136</v>
      </c>
      <c r="J87" s="335" t="s">
        <v>136</v>
      </c>
      <c r="K87" s="510">
        <v>0.44</v>
      </c>
      <c r="L87" s="309">
        <f t="shared" si="15"/>
        <v>0</v>
      </c>
      <c r="M87" s="349">
        <v>1.1299999999999999</v>
      </c>
      <c r="N87" s="479"/>
      <c r="O87" s="341"/>
      <c r="P87" s="303"/>
      <c r="Q87" s="370"/>
      <c r="R87" s="335" t="s">
        <v>136</v>
      </c>
      <c r="S87" s="335" t="s">
        <v>136</v>
      </c>
      <c r="T87" s="510">
        <v>0.44</v>
      </c>
      <c r="U87" s="309">
        <f t="shared" si="9"/>
        <v>0</v>
      </c>
      <c r="V87" s="349">
        <v>1.1299999999999999</v>
      </c>
      <c r="W87" s="341"/>
      <c r="X87" s="303"/>
      <c r="Y87" s="370"/>
      <c r="Z87" s="335" t="s">
        <v>136</v>
      </c>
      <c r="AA87" s="335" t="s">
        <v>136</v>
      </c>
      <c r="AB87" s="508">
        <v>0.44</v>
      </c>
      <c r="AC87" s="309">
        <f t="shared" si="10"/>
        <v>0</v>
      </c>
      <c r="AD87" s="530">
        <v>1.1299999999999999</v>
      </c>
      <c r="AE87" s="434" t="s">
        <v>543</v>
      </c>
      <c r="AF87" s="346" t="s">
        <v>678</v>
      </c>
      <c r="AG87" s="430"/>
      <c r="AH87" s="335" t="s">
        <v>136</v>
      </c>
      <c r="AI87" s="335" t="s">
        <v>136</v>
      </c>
      <c r="AJ87" s="510">
        <v>0.25</v>
      </c>
      <c r="AK87" s="309">
        <f t="shared" si="12"/>
        <v>0</v>
      </c>
      <c r="AL87" s="349">
        <v>1.1299999999999999</v>
      </c>
      <c r="AM87" s="434" t="s">
        <v>543</v>
      </c>
      <c r="AN87" s="346"/>
      <c r="AO87" s="404">
        <v>0.05</v>
      </c>
      <c r="AP87" s="335" t="s">
        <v>136</v>
      </c>
      <c r="AQ87" s="335" t="s">
        <v>136</v>
      </c>
      <c r="AR87" s="510">
        <v>0.25</v>
      </c>
      <c r="AS87" s="309">
        <f t="shared" si="13"/>
        <v>544.5</v>
      </c>
      <c r="AT87" s="436">
        <v>1.1299999999999999</v>
      </c>
      <c r="AU87" s="488"/>
    </row>
    <row r="88" spans="1:47" ht="15.75" customHeight="1" thickTop="1" thickBot="1" x14ac:dyDescent="0.3">
      <c r="A88" s="299" t="s">
        <v>624</v>
      </c>
      <c r="B88" s="423" t="s">
        <v>589</v>
      </c>
      <c r="C88" s="297" t="s">
        <v>590</v>
      </c>
      <c r="D88" s="325">
        <v>1</v>
      </c>
      <c r="E88" s="325">
        <v>0</v>
      </c>
      <c r="F88" s="479"/>
      <c r="G88" s="341"/>
      <c r="H88" s="370"/>
      <c r="I88" s="326">
        <v>0</v>
      </c>
      <c r="J88" s="328">
        <v>225</v>
      </c>
      <c r="K88" s="339">
        <v>0</v>
      </c>
      <c r="L88" s="309">
        <f t="shared" si="15"/>
        <v>0</v>
      </c>
      <c r="M88" s="348" t="s">
        <v>136</v>
      </c>
      <c r="N88" s="479"/>
      <c r="O88" s="341"/>
      <c r="P88" s="303"/>
      <c r="Q88" s="370"/>
      <c r="R88" s="326">
        <v>0</v>
      </c>
      <c r="S88" s="328">
        <v>225</v>
      </c>
      <c r="T88" s="339">
        <v>0</v>
      </c>
      <c r="U88" s="309">
        <f t="shared" si="9"/>
        <v>0</v>
      </c>
      <c r="V88" s="348" t="s">
        <v>136</v>
      </c>
      <c r="W88" s="341"/>
      <c r="X88" s="303"/>
      <c r="Y88" s="370"/>
      <c r="Z88" s="540">
        <v>0</v>
      </c>
      <c r="AA88" s="328">
        <v>225</v>
      </c>
      <c r="AB88" s="339">
        <v>0</v>
      </c>
      <c r="AC88" s="309">
        <f t="shared" si="10"/>
        <v>0</v>
      </c>
      <c r="AD88" s="414" t="s">
        <v>136</v>
      </c>
      <c r="AE88" s="341" t="s">
        <v>543</v>
      </c>
      <c r="AF88" s="404">
        <v>0.03</v>
      </c>
      <c r="AG88" s="370"/>
      <c r="AH88" s="418">
        <f>$AF$2*AF88</f>
        <v>0.39</v>
      </c>
      <c r="AI88" s="403">
        <v>225</v>
      </c>
      <c r="AJ88" s="339">
        <v>0</v>
      </c>
      <c r="AK88" s="309">
        <f t="shared" si="12"/>
        <v>0</v>
      </c>
      <c r="AL88" s="348" t="s">
        <v>136</v>
      </c>
      <c r="AM88" s="341" t="s">
        <v>543</v>
      </c>
      <c r="AN88" s="404">
        <v>0</v>
      </c>
      <c r="AO88" s="370"/>
      <c r="AP88" s="339">
        <v>0</v>
      </c>
      <c r="AQ88" s="403">
        <v>225</v>
      </c>
      <c r="AR88" s="339">
        <v>0</v>
      </c>
      <c r="AS88" s="309">
        <f t="shared" si="13"/>
        <v>0</v>
      </c>
      <c r="AT88" s="348" t="s">
        <v>136</v>
      </c>
      <c r="AU88" s="486"/>
    </row>
    <row r="89" spans="1:47" ht="15.75" customHeight="1" thickTop="1" thickBot="1" x14ac:dyDescent="0.3">
      <c r="A89" s="299" t="s">
        <v>624</v>
      </c>
      <c r="B89" s="423" t="s">
        <v>589</v>
      </c>
      <c r="C89" s="297" t="s">
        <v>590</v>
      </c>
      <c r="D89" s="325">
        <v>1</v>
      </c>
      <c r="E89" s="325">
        <v>1</v>
      </c>
      <c r="F89" s="479"/>
      <c r="G89" s="341"/>
      <c r="H89" s="370"/>
      <c r="I89" s="335" t="s">
        <v>136</v>
      </c>
      <c r="J89" s="335" t="s">
        <v>136</v>
      </c>
      <c r="K89" s="510">
        <v>0.25</v>
      </c>
      <c r="L89" s="309">
        <f t="shared" si="15"/>
        <v>0</v>
      </c>
      <c r="M89" s="349">
        <v>1.21</v>
      </c>
      <c r="N89" s="479"/>
      <c r="O89" s="341"/>
      <c r="P89" s="303"/>
      <c r="Q89" s="370"/>
      <c r="R89" s="335" t="s">
        <v>136</v>
      </c>
      <c r="S89" s="335" t="s">
        <v>136</v>
      </c>
      <c r="T89" s="510">
        <v>0.25</v>
      </c>
      <c r="U89" s="309">
        <f t="shared" si="9"/>
        <v>0</v>
      </c>
      <c r="V89" s="349">
        <v>1.21</v>
      </c>
      <c r="W89" s="341"/>
      <c r="X89" s="303"/>
      <c r="Y89" s="370"/>
      <c r="Z89" s="335" t="s">
        <v>136</v>
      </c>
      <c r="AA89" s="335" t="s">
        <v>136</v>
      </c>
      <c r="AB89" s="510">
        <v>0.25</v>
      </c>
      <c r="AC89" s="309">
        <f t="shared" si="10"/>
        <v>0</v>
      </c>
      <c r="AD89" s="349">
        <v>1.21</v>
      </c>
      <c r="AE89" s="341"/>
      <c r="AF89" s="303"/>
      <c r="AG89" s="370"/>
      <c r="AH89" s="335" t="s">
        <v>136</v>
      </c>
      <c r="AI89" s="335" t="s">
        <v>136</v>
      </c>
      <c r="AJ89" s="510">
        <v>0.25</v>
      </c>
      <c r="AK89" s="309">
        <f t="shared" si="12"/>
        <v>0</v>
      </c>
      <c r="AL89" s="349">
        <v>1.21</v>
      </c>
      <c r="AM89" s="341"/>
      <c r="AN89" s="303"/>
      <c r="AO89" s="404">
        <v>0.05</v>
      </c>
      <c r="AP89" s="335" t="s">
        <v>136</v>
      </c>
      <c r="AQ89" s="335" t="s">
        <v>136</v>
      </c>
      <c r="AR89" s="510">
        <v>0.25</v>
      </c>
      <c r="AS89" s="309">
        <f t="shared" si="13"/>
        <v>544.5</v>
      </c>
      <c r="AT89" s="349">
        <v>1.21</v>
      </c>
      <c r="AU89" s="486"/>
    </row>
    <row r="90" spans="1:47" ht="15.75" customHeight="1" thickTop="1" thickBot="1" x14ac:dyDescent="0.3">
      <c r="A90" s="299" t="s">
        <v>625</v>
      </c>
      <c r="B90" s="423" t="s">
        <v>595</v>
      </c>
      <c r="C90" s="297" t="s">
        <v>596</v>
      </c>
      <c r="D90" s="325">
        <v>0</v>
      </c>
      <c r="E90" s="325">
        <v>0</v>
      </c>
      <c r="F90" s="479"/>
      <c r="G90" s="552">
        <f>IF($G$11=1,P90,0)</f>
        <v>0.1</v>
      </c>
      <c r="H90" s="370"/>
      <c r="I90" s="399">
        <f>$G$2*G90</f>
        <v>1.3</v>
      </c>
      <c r="J90" s="403">
        <v>25</v>
      </c>
      <c r="K90" s="339">
        <v>0</v>
      </c>
      <c r="L90" s="309">
        <f t="shared" si="15"/>
        <v>0</v>
      </c>
      <c r="M90" s="348" t="s">
        <v>136</v>
      </c>
      <c r="N90" s="479"/>
      <c r="O90" s="341" t="s">
        <v>670</v>
      </c>
      <c r="P90" s="404">
        <v>0.1</v>
      </c>
      <c r="Q90" s="370"/>
      <c r="R90" s="539">
        <f>$P$2*P90</f>
        <v>1.3</v>
      </c>
      <c r="S90" s="403">
        <v>25</v>
      </c>
      <c r="T90" s="339">
        <v>0</v>
      </c>
      <c r="U90" s="309">
        <f t="shared" si="9"/>
        <v>0</v>
      </c>
      <c r="V90" s="348" t="s">
        <v>136</v>
      </c>
      <c r="W90" s="341"/>
      <c r="X90" s="303"/>
      <c r="Y90" s="370"/>
      <c r="Z90" s="417" t="s">
        <v>136</v>
      </c>
      <c r="AA90" s="328">
        <v>25</v>
      </c>
      <c r="AB90" s="339">
        <v>0</v>
      </c>
      <c r="AC90" s="309">
        <f t="shared" si="10"/>
        <v>0</v>
      </c>
      <c r="AD90" s="414" t="s">
        <v>136</v>
      </c>
      <c r="AE90" s="341"/>
      <c r="AF90" s="303"/>
      <c r="AG90" s="370"/>
      <c r="AH90" s="328" t="s">
        <v>136</v>
      </c>
      <c r="AI90" s="328">
        <v>25</v>
      </c>
      <c r="AJ90" s="339">
        <v>0</v>
      </c>
      <c r="AK90" s="309">
        <f t="shared" si="12"/>
        <v>0</v>
      </c>
      <c r="AL90" s="348" t="s">
        <v>136</v>
      </c>
      <c r="AM90" s="341"/>
      <c r="AN90" s="303"/>
      <c r="AO90" s="370"/>
      <c r="AP90" s="328" t="s">
        <v>136</v>
      </c>
      <c r="AQ90" s="328">
        <v>25</v>
      </c>
      <c r="AR90" s="339">
        <v>0</v>
      </c>
      <c r="AS90" s="309">
        <f t="shared" si="13"/>
        <v>0</v>
      </c>
      <c r="AT90" s="348" t="s">
        <v>136</v>
      </c>
      <c r="AU90" s="486"/>
    </row>
    <row r="91" spans="1:47" ht="15.75" customHeight="1" thickTop="1" thickBot="1" x14ac:dyDescent="0.3">
      <c r="A91" s="299" t="s">
        <v>625</v>
      </c>
      <c r="B91" s="423" t="s">
        <v>595</v>
      </c>
      <c r="C91" s="297" t="s">
        <v>596</v>
      </c>
      <c r="D91" s="325">
        <v>0</v>
      </c>
      <c r="E91" s="325">
        <v>1</v>
      </c>
      <c r="F91" s="479"/>
      <c r="G91" s="341"/>
      <c r="H91" s="370"/>
      <c r="I91" s="511" t="s">
        <v>136</v>
      </c>
      <c r="J91" s="337" t="s">
        <v>136</v>
      </c>
      <c r="K91" s="338">
        <v>0</v>
      </c>
      <c r="L91" s="309">
        <f t="shared" si="15"/>
        <v>0</v>
      </c>
      <c r="M91" s="432" t="s">
        <v>136</v>
      </c>
      <c r="N91" s="479"/>
      <c r="O91" s="341"/>
      <c r="P91" s="303"/>
      <c r="Q91" s="370"/>
      <c r="R91" s="511" t="s">
        <v>136</v>
      </c>
      <c r="S91" s="337" t="s">
        <v>136</v>
      </c>
      <c r="T91" s="338">
        <v>0</v>
      </c>
      <c r="U91" s="309">
        <f t="shared" si="9"/>
        <v>0</v>
      </c>
      <c r="V91" s="432" t="s">
        <v>136</v>
      </c>
      <c r="W91" s="341" t="s">
        <v>670</v>
      </c>
      <c r="X91" s="303"/>
      <c r="Y91" s="370"/>
      <c r="Z91" s="365" t="s">
        <v>136</v>
      </c>
      <c r="AA91" s="337" t="s">
        <v>136</v>
      </c>
      <c r="AB91" s="338">
        <v>0</v>
      </c>
      <c r="AC91" s="309">
        <f t="shared" si="10"/>
        <v>0</v>
      </c>
      <c r="AD91" s="405" t="s">
        <v>136</v>
      </c>
      <c r="AE91" s="341" t="s">
        <v>666</v>
      </c>
      <c r="AF91" s="303"/>
      <c r="AG91" s="370"/>
      <c r="AH91" s="365" t="s">
        <v>136</v>
      </c>
      <c r="AI91" s="337" t="s">
        <v>136</v>
      </c>
      <c r="AJ91" s="338">
        <v>0</v>
      </c>
      <c r="AK91" s="309">
        <f t="shared" si="12"/>
        <v>0</v>
      </c>
      <c r="AL91" s="432" t="s">
        <v>136</v>
      </c>
      <c r="AM91" s="341"/>
      <c r="AN91" s="303"/>
      <c r="AO91" s="370"/>
      <c r="AP91" s="365" t="s">
        <v>136</v>
      </c>
      <c r="AQ91" s="337" t="s">
        <v>136</v>
      </c>
      <c r="AR91" s="338">
        <v>0</v>
      </c>
      <c r="AS91" s="309">
        <f t="shared" si="13"/>
        <v>0</v>
      </c>
      <c r="AT91" s="432" t="s">
        <v>136</v>
      </c>
      <c r="AU91" s="487"/>
    </row>
    <row r="92" spans="1:47" ht="15.75" customHeight="1" thickTop="1" thickBot="1" x14ac:dyDescent="0.3">
      <c r="A92" s="299" t="s">
        <v>625</v>
      </c>
      <c r="B92" s="423" t="s">
        <v>597</v>
      </c>
      <c r="C92" s="297" t="s">
        <v>598</v>
      </c>
      <c r="D92" s="325">
        <v>0</v>
      </c>
      <c r="E92" s="325">
        <v>0</v>
      </c>
      <c r="F92" s="479"/>
      <c r="G92" s="341"/>
      <c r="H92" s="370"/>
      <c r="I92" s="333" t="s">
        <v>136</v>
      </c>
      <c r="J92" s="333">
        <v>25</v>
      </c>
      <c r="K92" s="330">
        <v>0</v>
      </c>
      <c r="L92" s="309">
        <f t="shared" si="15"/>
        <v>0</v>
      </c>
      <c r="M92" s="351" t="s">
        <v>136</v>
      </c>
      <c r="N92" s="479"/>
      <c r="O92" s="341" t="s">
        <v>670</v>
      </c>
      <c r="P92" s="303"/>
      <c r="Q92" s="370"/>
      <c r="R92" s="333" t="s">
        <v>136</v>
      </c>
      <c r="S92" s="333">
        <v>25</v>
      </c>
      <c r="T92" s="330">
        <v>0</v>
      </c>
      <c r="U92" s="309">
        <f t="shared" si="9"/>
        <v>0</v>
      </c>
      <c r="V92" s="351" t="s">
        <v>136</v>
      </c>
      <c r="W92" s="341"/>
      <c r="X92" s="303"/>
      <c r="Y92" s="370"/>
      <c r="Z92" s="333" t="s">
        <v>136</v>
      </c>
      <c r="AA92" s="333" t="s">
        <v>136</v>
      </c>
      <c r="AB92" s="330">
        <v>0</v>
      </c>
      <c r="AC92" s="309">
        <f t="shared" si="10"/>
        <v>0</v>
      </c>
      <c r="AD92" s="413" t="s">
        <v>136</v>
      </c>
      <c r="AE92" s="341"/>
      <c r="AF92" s="404">
        <v>0.2</v>
      </c>
      <c r="AG92" s="370"/>
      <c r="AH92" s="333" t="s">
        <v>136</v>
      </c>
      <c r="AI92" s="333">
        <v>25</v>
      </c>
      <c r="AJ92" s="330">
        <v>0</v>
      </c>
      <c r="AK92" s="309">
        <f t="shared" si="12"/>
        <v>0</v>
      </c>
      <c r="AL92" s="351" t="s">
        <v>136</v>
      </c>
      <c r="AM92" s="341"/>
      <c r="AN92" s="527"/>
      <c r="AO92" s="370"/>
      <c r="AP92" s="333" t="s">
        <v>136</v>
      </c>
      <c r="AQ92" s="333">
        <v>25</v>
      </c>
      <c r="AR92" s="330">
        <v>0</v>
      </c>
      <c r="AS92" s="309">
        <f t="shared" si="13"/>
        <v>0</v>
      </c>
      <c r="AT92" s="351" t="s">
        <v>136</v>
      </c>
      <c r="AU92" s="486"/>
    </row>
    <row r="93" spans="1:47" ht="15.75" customHeight="1" thickTop="1" thickBot="1" x14ac:dyDescent="0.3">
      <c r="A93" s="299" t="s">
        <v>625</v>
      </c>
      <c r="B93" s="423" t="s">
        <v>597</v>
      </c>
      <c r="C93" s="297" t="s">
        <v>598</v>
      </c>
      <c r="D93" s="325">
        <v>0</v>
      </c>
      <c r="E93" s="325">
        <v>1</v>
      </c>
      <c r="F93" s="479"/>
      <c r="G93" s="341"/>
      <c r="H93" s="370"/>
      <c r="I93" s="521" t="s">
        <v>136</v>
      </c>
      <c r="J93" s="333" t="s">
        <v>136</v>
      </c>
      <c r="K93" s="330">
        <v>0</v>
      </c>
      <c r="L93" s="309">
        <f t="shared" si="15"/>
        <v>0</v>
      </c>
      <c r="M93" s="351" t="s">
        <v>136</v>
      </c>
      <c r="N93" s="479"/>
      <c r="O93" s="341"/>
      <c r="P93" s="303"/>
      <c r="Q93" s="370"/>
      <c r="R93" s="521" t="s">
        <v>136</v>
      </c>
      <c r="S93" s="333" t="s">
        <v>136</v>
      </c>
      <c r="T93" s="330">
        <v>0</v>
      </c>
      <c r="U93" s="309">
        <f t="shared" si="9"/>
        <v>0</v>
      </c>
      <c r="V93" s="351" t="s">
        <v>136</v>
      </c>
      <c r="W93" s="341" t="s">
        <v>670</v>
      </c>
      <c r="X93" s="303"/>
      <c r="Y93" s="370"/>
      <c r="Z93" s="367" t="s">
        <v>136</v>
      </c>
      <c r="AA93" s="333" t="s">
        <v>136</v>
      </c>
      <c r="AB93" s="340">
        <v>0</v>
      </c>
      <c r="AC93" s="309">
        <f t="shared" si="10"/>
        <v>0</v>
      </c>
      <c r="AD93" s="413" t="s">
        <v>136</v>
      </c>
      <c r="AE93" s="341" t="s">
        <v>666</v>
      </c>
      <c r="AF93" s="303"/>
      <c r="AG93" s="370"/>
      <c r="AH93" s="367" t="s">
        <v>136</v>
      </c>
      <c r="AI93" s="333" t="s">
        <v>136</v>
      </c>
      <c r="AJ93" s="340">
        <v>0</v>
      </c>
      <c r="AK93" s="309">
        <f t="shared" si="12"/>
        <v>0</v>
      </c>
      <c r="AL93" s="351" t="s">
        <v>136</v>
      </c>
      <c r="AM93" s="341"/>
      <c r="AN93" s="303"/>
      <c r="AO93" s="370"/>
      <c r="AP93" s="367" t="s">
        <v>136</v>
      </c>
      <c r="AQ93" s="333" t="s">
        <v>136</v>
      </c>
      <c r="AR93" s="340">
        <v>0</v>
      </c>
      <c r="AS93" s="309">
        <f t="shared" si="13"/>
        <v>0</v>
      </c>
      <c r="AT93" s="351" t="s">
        <v>136</v>
      </c>
      <c r="AU93" s="486"/>
    </row>
    <row r="94" spans="1:47" ht="15.75" customHeight="1" thickTop="1" thickBot="1" x14ac:dyDescent="0.3">
      <c r="A94" s="299" t="s">
        <v>625</v>
      </c>
      <c r="B94" s="423" t="s">
        <v>599</v>
      </c>
      <c r="C94" s="297" t="s">
        <v>600</v>
      </c>
      <c r="D94" s="325">
        <v>0</v>
      </c>
      <c r="E94" s="325">
        <v>0</v>
      </c>
      <c r="F94" s="479"/>
      <c r="G94" s="341"/>
      <c r="H94" s="370"/>
      <c r="I94" s="536">
        <f>$AF$2*W94</f>
        <v>0</v>
      </c>
      <c r="J94" s="333">
        <v>19</v>
      </c>
      <c r="K94" s="330">
        <v>0</v>
      </c>
      <c r="L94" s="309">
        <f t="shared" si="15"/>
        <v>0</v>
      </c>
      <c r="M94" s="351" t="s">
        <v>136</v>
      </c>
      <c r="N94" s="479"/>
      <c r="O94" s="341"/>
      <c r="P94" s="303"/>
      <c r="Q94" s="370"/>
      <c r="R94" s="536">
        <v>0</v>
      </c>
      <c r="S94" s="333">
        <v>19</v>
      </c>
      <c r="T94" s="330">
        <v>0</v>
      </c>
      <c r="U94" s="309">
        <f t="shared" si="9"/>
        <v>0</v>
      </c>
      <c r="V94" s="351" t="s">
        <v>136</v>
      </c>
      <c r="W94" s="341"/>
      <c r="X94" s="303"/>
      <c r="Y94" s="370"/>
      <c r="Z94" s="330">
        <v>0</v>
      </c>
      <c r="AA94" s="333" t="s">
        <v>136</v>
      </c>
      <c r="AB94" s="330">
        <v>0</v>
      </c>
      <c r="AC94" s="309">
        <f t="shared" si="10"/>
        <v>0</v>
      </c>
      <c r="AD94" s="413" t="s">
        <v>136</v>
      </c>
      <c r="AE94" s="341" t="s">
        <v>543</v>
      </c>
      <c r="AF94" s="404">
        <v>0.1</v>
      </c>
      <c r="AG94" s="370"/>
      <c r="AH94" s="424">
        <f>$AF$2*AF94</f>
        <v>1.3</v>
      </c>
      <c r="AI94" s="410">
        <v>19</v>
      </c>
      <c r="AJ94" s="330">
        <v>0</v>
      </c>
      <c r="AK94" s="309">
        <f t="shared" si="12"/>
        <v>0</v>
      </c>
      <c r="AL94" s="351" t="s">
        <v>136</v>
      </c>
      <c r="AM94" s="341" t="s">
        <v>543</v>
      </c>
      <c r="AN94" s="303"/>
      <c r="AO94" s="370"/>
      <c r="AP94" s="330">
        <v>0</v>
      </c>
      <c r="AQ94" s="333">
        <v>19</v>
      </c>
      <c r="AR94" s="330">
        <v>0</v>
      </c>
      <c r="AS94" s="309">
        <f t="shared" si="13"/>
        <v>0</v>
      </c>
      <c r="AT94" s="351" t="s">
        <v>136</v>
      </c>
      <c r="AU94" s="486"/>
    </row>
    <row r="95" spans="1:47" ht="15.75" customHeight="1" thickTop="1" thickBot="1" x14ac:dyDescent="0.3">
      <c r="A95" s="299" t="s">
        <v>625</v>
      </c>
      <c r="B95" s="423" t="s">
        <v>599</v>
      </c>
      <c r="C95" s="297" t="s">
        <v>600</v>
      </c>
      <c r="D95" s="325">
        <v>0</v>
      </c>
      <c r="E95" s="325">
        <v>1</v>
      </c>
      <c r="F95" s="479"/>
      <c r="G95" s="341"/>
      <c r="H95" s="370"/>
      <c r="I95" s="521" t="s">
        <v>136</v>
      </c>
      <c r="J95" s="333" t="s">
        <v>136</v>
      </c>
      <c r="K95" s="340">
        <v>0</v>
      </c>
      <c r="L95" s="309">
        <f t="shared" si="15"/>
        <v>0</v>
      </c>
      <c r="M95" s="351">
        <v>1.35</v>
      </c>
      <c r="N95" s="479"/>
      <c r="O95" s="341"/>
      <c r="P95" s="303"/>
      <c r="Q95" s="370"/>
      <c r="R95" s="521" t="s">
        <v>136</v>
      </c>
      <c r="S95" s="333" t="s">
        <v>136</v>
      </c>
      <c r="T95" s="340">
        <v>0</v>
      </c>
      <c r="U95" s="309">
        <f t="shared" si="9"/>
        <v>0</v>
      </c>
      <c r="V95" s="351">
        <v>1.35</v>
      </c>
      <c r="W95" s="341"/>
      <c r="X95" s="303"/>
      <c r="Y95" s="370"/>
      <c r="Z95" s="367" t="s">
        <v>136</v>
      </c>
      <c r="AA95" s="333" t="s">
        <v>136</v>
      </c>
      <c r="AB95" s="340">
        <v>1</v>
      </c>
      <c r="AC95" s="309">
        <f t="shared" si="10"/>
        <v>0</v>
      </c>
      <c r="AD95" s="351">
        <v>1.35</v>
      </c>
      <c r="AE95" s="341" t="s">
        <v>543</v>
      </c>
      <c r="AF95" s="303"/>
      <c r="AG95" s="370"/>
      <c r="AH95" s="367" t="s">
        <v>136</v>
      </c>
      <c r="AI95" s="333" t="s">
        <v>136</v>
      </c>
      <c r="AJ95" s="340">
        <v>1</v>
      </c>
      <c r="AK95" s="309">
        <f t="shared" si="12"/>
        <v>0</v>
      </c>
      <c r="AL95" s="351">
        <v>1.35</v>
      </c>
      <c r="AM95" s="341" t="s">
        <v>543</v>
      </c>
      <c r="AN95" s="303"/>
      <c r="AO95" s="404">
        <v>0.05</v>
      </c>
      <c r="AP95" s="367" t="s">
        <v>136</v>
      </c>
      <c r="AQ95" s="333" t="s">
        <v>136</v>
      </c>
      <c r="AR95" s="340">
        <v>1</v>
      </c>
      <c r="AS95" s="309">
        <f t="shared" si="13"/>
        <v>2178</v>
      </c>
      <c r="AT95" s="422">
        <v>1.35</v>
      </c>
      <c r="AU95" s="488"/>
    </row>
    <row r="96" spans="1:47" ht="15.75" customHeight="1" thickTop="1" thickBot="1" x14ac:dyDescent="0.3">
      <c r="A96" s="299" t="s">
        <v>625</v>
      </c>
      <c r="B96" s="423" t="s">
        <v>591</v>
      </c>
      <c r="C96" s="297" t="s">
        <v>592</v>
      </c>
      <c r="D96" s="325">
        <v>0</v>
      </c>
      <c r="E96" s="325">
        <v>0</v>
      </c>
      <c r="F96" s="479"/>
      <c r="G96" s="552">
        <f>IF($G$11=1,P96,0)</f>
        <v>0.2</v>
      </c>
      <c r="H96" s="370"/>
      <c r="I96" s="546">
        <f>$G$2*G96</f>
        <v>2.6</v>
      </c>
      <c r="J96" s="403">
        <v>25</v>
      </c>
      <c r="K96" s="339">
        <v>0</v>
      </c>
      <c r="L96" s="309">
        <f t="shared" si="15"/>
        <v>0</v>
      </c>
      <c r="M96" s="348" t="s">
        <v>136</v>
      </c>
      <c r="N96" s="479"/>
      <c r="O96" s="341" t="s">
        <v>543</v>
      </c>
      <c r="P96" s="404">
        <v>0.2</v>
      </c>
      <c r="Q96" s="370"/>
      <c r="R96" s="539">
        <f>$P$2*P96</f>
        <v>2.6</v>
      </c>
      <c r="S96" s="403">
        <v>25</v>
      </c>
      <c r="T96" s="339">
        <v>0</v>
      </c>
      <c r="U96" s="309">
        <f t="shared" si="9"/>
        <v>0</v>
      </c>
      <c r="V96" s="348" t="s">
        <v>136</v>
      </c>
      <c r="W96" s="341" t="s">
        <v>543</v>
      </c>
      <c r="X96" s="303"/>
      <c r="Y96" s="370"/>
      <c r="Z96" s="540">
        <v>0</v>
      </c>
      <c r="AA96" s="328">
        <v>25</v>
      </c>
      <c r="AB96" s="339">
        <v>0</v>
      </c>
      <c r="AC96" s="309">
        <f t="shared" si="10"/>
        <v>0</v>
      </c>
      <c r="AD96" s="414" t="s">
        <v>136</v>
      </c>
      <c r="AG96" s="370"/>
      <c r="AH96" s="328" t="s">
        <v>136</v>
      </c>
      <c r="AI96" s="403">
        <v>25</v>
      </c>
      <c r="AJ96" s="339">
        <v>0</v>
      </c>
      <c r="AK96" s="309">
        <f t="shared" si="12"/>
        <v>0</v>
      </c>
      <c r="AL96" s="348" t="s">
        <v>136</v>
      </c>
      <c r="AM96" s="341" t="s">
        <v>543</v>
      </c>
      <c r="AN96" s="303"/>
      <c r="AO96" s="370"/>
      <c r="AP96" s="339">
        <v>0</v>
      </c>
      <c r="AQ96" s="328">
        <v>25</v>
      </c>
      <c r="AR96" s="339">
        <v>0</v>
      </c>
      <c r="AS96" s="309">
        <f t="shared" si="13"/>
        <v>0</v>
      </c>
      <c r="AT96" s="348" t="s">
        <v>136</v>
      </c>
      <c r="AU96" s="486"/>
    </row>
    <row r="97" spans="1:47" ht="15.75" customHeight="1" thickTop="1" thickBot="1" x14ac:dyDescent="0.3">
      <c r="A97" s="299" t="s">
        <v>625</v>
      </c>
      <c r="B97" s="423" t="s">
        <v>591</v>
      </c>
      <c r="C97" s="297" t="s">
        <v>592</v>
      </c>
      <c r="D97" s="325">
        <v>0</v>
      </c>
      <c r="E97" s="325">
        <v>1</v>
      </c>
      <c r="F97" s="479"/>
      <c r="G97" s="341"/>
      <c r="H97" s="404">
        <f>IF($H$11=1,Y97,0)</f>
        <v>0</v>
      </c>
      <c r="I97" s="337" t="s">
        <v>136</v>
      </c>
      <c r="J97" s="337" t="s">
        <v>136</v>
      </c>
      <c r="K97" s="493">
        <v>0.11</v>
      </c>
      <c r="L97" s="309">
        <f t="shared" si="15"/>
        <v>0</v>
      </c>
      <c r="M97" s="415">
        <v>1.1499999999999999</v>
      </c>
      <c r="N97" s="479"/>
      <c r="O97" s="341" t="s">
        <v>543</v>
      </c>
      <c r="P97" s="303"/>
      <c r="Q97" s="370"/>
      <c r="R97" s="511" t="s">
        <v>136</v>
      </c>
      <c r="S97" s="337" t="s">
        <v>136</v>
      </c>
      <c r="T97" s="493">
        <v>0.11</v>
      </c>
      <c r="U97" s="309">
        <f t="shared" si="9"/>
        <v>0</v>
      </c>
      <c r="V97" s="530">
        <v>1.1499999999999999</v>
      </c>
      <c r="W97" s="341" t="s">
        <v>543</v>
      </c>
      <c r="X97" s="303"/>
      <c r="Y97" s="404">
        <v>0.05</v>
      </c>
      <c r="Z97" s="365" t="s">
        <v>136</v>
      </c>
      <c r="AA97" s="337" t="s">
        <v>136</v>
      </c>
      <c r="AB97" s="493">
        <v>0.11</v>
      </c>
      <c r="AC97" s="309">
        <f t="shared" si="10"/>
        <v>239.58</v>
      </c>
      <c r="AD97" s="415">
        <v>1.1499999999999999</v>
      </c>
      <c r="AF97" s="303"/>
      <c r="AG97" s="370"/>
      <c r="AH97" s="365" t="s">
        <v>136</v>
      </c>
      <c r="AI97" s="337" t="s">
        <v>136</v>
      </c>
      <c r="AJ97" s="493">
        <v>0.11</v>
      </c>
      <c r="AK97" s="309">
        <f t="shared" si="12"/>
        <v>0</v>
      </c>
      <c r="AL97" s="530">
        <v>1.35</v>
      </c>
      <c r="AM97" s="341" t="s">
        <v>543</v>
      </c>
      <c r="AN97" s="303"/>
      <c r="AP97" s="365" t="s">
        <v>136</v>
      </c>
      <c r="AQ97" s="337" t="s">
        <v>136</v>
      </c>
      <c r="AR97" s="493">
        <v>0.11</v>
      </c>
      <c r="AS97" s="309">
        <f>AR97*(43560*AO99)</f>
        <v>239.58</v>
      </c>
      <c r="AT97" s="420">
        <v>1.35</v>
      </c>
      <c r="AU97" s="488"/>
    </row>
    <row r="98" spans="1:47" ht="15.75" customHeight="1" thickTop="1" thickBot="1" x14ac:dyDescent="0.3">
      <c r="A98" s="299" t="s">
        <v>625</v>
      </c>
      <c r="B98" s="423" t="s">
        <v>593</v>
      </c>
      <c r="C98" s="297" t="s">
        <v>594</v>
      </c>
      <c r="D98" s="325">
        <v>0</v>
      </c>
      <c r="E98" s="325">
        <v>0</v>
      </c>
      <c r="F98" s="479"/>
      <c r="G98" s="552">
        <f>IF($G$11=1,P98,0)</f>
        <v>0.05</v>
      </c>
      <c r="H98" s="370"/>
      <c r="I98" s="547">
        <f>$P$2*G98</f>
        <v>0.65</v>
      </c>
      <c r="J98" s="403">
        <v>25</v>
      </c>
      <c r="K98" s="339">
        <v>0</v>
      </c>
      <c r="L98" s="309">
        <f t="shared" si="15"/>
        <v>0</v>
      </c>
      <c r="M98" s="348" t="s">
        <v>136</v>
      </c>
      <c r="N98" s="479"/>
      <c r="O98" s="341" t="s">
        <v>543</v>
      </c>
      <c r="P98" s="404">
        <v>0.05</v>
      </c>
      <c r="Q98" s="370"/>
      <c r="R98" s="519">
        <f>$P$2*P98</f>
        <v>0.65</v>
      </c>
      <c r="S98" s="403">
        <v>25</v>
      </c>
      <c r="T98" s="339">
        <v>0</v>
      </c>
      <c r="U98" s="309">
        <f t="shared" si="9"/>
        <v>0</v>
      </c>
      <c r="V98" s="348" t="s">
        <v>136</v>
      </c>
      <c r="W98" s="341" t="s">
        <v>543</v>
      </c>
      <c r="X98" s="303"/>
      <c r="Y98" s="370"/>
      <c r="Z98" s="339">
        <v>0</v>
      </c>
      <c r="AA98" s="328">
        <v>25</v>
      </c>
      <c r="AB98" s="339">
        <v>0</v>
      </c>
      <c r="AC98" s="309">
        <f t="shared" si="10"/>
        <v>0</v>
      </c>
      <c r="AD98" s="414" t="s">
        <v>136</v>
      </c>
      <c r="AE98" s="341" t="s">
        <v>543</v>
      </c>
      <c r="AF98" s="404">
        <v>0.05</v>
      </c>
      <c r="AG98" s="370"/>
      <c r="AH98" s="560">
        <v>0.65</v>
      </c>
      <c r="AI98" s="328">
        <v>25</v>
      </c>
      <c r="AJ98" s="339">
        <v>0</v>
      </c>
      <c r="AK98" s="309">
        <f t="shared" si="12"/>
        <v>0</v>
      </c>
      <c r="AL98" s="348" t="s">
        <v>136</v>
      </c>
      <c r="AM98" s="341"/>
      <c r="AN98" s="303"/>
      <c r="AO98" s="370"/>
      <c r="AP98" s="339">
        <v>0</v>
      </c>
      <c r="AQ98" s="328">
        <v>25</v>
      </c>
      <c r="AR98" s="339">
        <v>0</v>
      </c>
      <c r="AS98" s="309">
        <f t="shared" si="13"/>
        <v>0</v>
      </c>
      <c r="AT98" s="348" t="s">
        <v>136</v>
      </c>
      <c r="AU98" s="486"/>
    </row>
    <row r="99" spans="1:47" ht="15.75" customHeight="1" thickTop="1" thickBot="1" x14ac:dyDescent="0.3">
      <c r="A99" s="299" t="s">
        <v>625</v>
      </c>
      <c r="B99" s="423" t="s">
        <v>593</v>
      </c>
      <c r="C99" s="297" t="s">
        <v>594</v>
      </c>
      <c r="D99" s="325">
        <v>0</v>
      </c>
      <c r="E99" s="325">
        <v>1</v>
      </c>
      <c r="F99" s="479"/>
      <c r="G99" s="341"/>
      <c r="H99" s="404">
        <f>IF($H$11=1,Y99,0)</f>
        <v>0</v>
      </c>
      <c r="I99" s="352" t="s">
        <v>136</v>
      </c>
      <c r="J99" s="352" t="s">
        <v>136</v>
      </c>
      <c r="K99" s="493">
        <v>0.11</v>
      </c>
      <c r="L99" s="353">
        <f t="shared" si="15"/>
        <v>0</v>
      </c>
      <c r="M99" s="415">
        <v>1.47</v>
      </c>
      <c r="N99" s="479"/>
      <c r="O99" s="341" t="s">
        <v>543</v>
      </c>
      <c r="P99" s="303"/>
      <c r="Q99" s="370"/>
      <c r="R99" s="511" t="s">
        <v>136</v>
      </c>
      <c r="S99" s="337" t="s">
        <v>136</v>
      </c>
      <c r="T99" s="493">
        <v>0.11</v>
      </c>
      <c r="U99" s="309">
        <f t="shared" si="9"/>
        <v>0</v>
      </c>
      <c r="V99" s="530">
        <v>1.47</v>
      </c>
      <c r="W99" s="341" t="s">
        <v>543</v>
      </c>
      <c r="X99" s="303"/>
      <c r="Y99" s="404">
        <v>0.05</v>
      </c>
      <c r="Z99" s="365" t="s">
        <v>136</v>
      </c>
      <c r="AA99" s="337" t="s">
        <v>136</v>
      </c>
      <c r="AB99" s="493">
        <v>0.11</v>
      </c>
      <c r="AC99" s="309">
        <f t="shared" si="10"/>
        <v>239.58</v>
      </c>
      <c r="AD99" s="415">
        <v>1.47</v>
      </c>
      <c r="AE99" s="341" t="s">
        <v>543</v>
      </c>
      <c r="AF99" s="303"/>
      <c r="AG99" s="370"/>
      <c r="AH99" s="365" t="s">
        <v>136</v>
      </c>
      <c r="AI99" s="337" t="s">
        <v>136</v>
      </c>
      <c r="AJ99" s="493">
        <v>0.11</v>
      </c>
      <c r="AK99" s="309">
        <f t="shared" si="12"/>
        <v>0</v>
      </c>
      <c r="AL99" s="530">
        <v>1.47</v>
      </c>
      <c r="AM99" s="341"/>
      <c r="AN99" s="303"/>
      <c r="AO99" s="404">
        <v>0.05</v>
      </c>
      <c r="AP99" s="365" t="s">
        <v>136</v>
      </c>
      <c r="AQ99" s="337" t="s">
        <v>136</v>
      </c>
      <c r="AR99" s="493">
        <v>0.11</v>
      </c>
      <c r="AS99" s="309">
        <f>AR99*(43560*AO101)</f>
        <v>4791.6000000000013</v>
      </c>
      <c r="AT99" s="420">
        <v>1.47</v>
      </c>
      <c r="AU99" s="487"/>
    </row>
    <row r="100" spans="1:47" ht="15.75" customHeight="1" thickTop="1" x14ac:dyDescent="0.25">
      <c r="B100" s="423"/>
      <c r="C100" s="300"/>
      <c r="D100" s="300"/>
      <c r="E100" s="300"/>
      <c r="F100" s="479"/>
      <c r="G100" s="381"/>
      <c r="H100" s="382"/>
      <c r="K100" s="332"/>
      <c r="M100" s="343"/>
      <c r="N100" s="479"/>
      <c r="O100" s="381"/>
      <c r="P100" s="382"/>
      <c r="Q100" s="382"/>
      <c r="R100" s="383"/>
      <c r="S100" s="383"/>
      <c r="T100" s="384"/>
      <c r="U100" s="383"/>
      <c r="V100" s="385"/>
      <c r="W100" s="381"/>
      <c r="X100" s="382"/>
      <c r="Y100" s="382"/>
      <c r="Z100" s="383"/>
      <c r="AA100" s="383"/>
      <c r="AB100" s="384"/>
      <c r="AC100" s="383"/>
      <c r="AD100" s="385"/>
      <c r="AE100" s="381"/>
      <c r="AF100" s="382"/>
      <c r="AG100" s="382"/>
      <c r="AH100" s="383"/>
      <c r="AI100" s="383"/>
      <c r="AJ100" s="384"/>
      <c r="AK100" s="383"/>
      <c r="AL100" s="385"/>
      <c r="AM100" s="381"/>
      <c r="AN100" s="382"/>
      <c r="AO100" s="382"/>
      <c r="AP100" s="383"/>
      <c r="AQ100" s="383"/>
      <c r="AR100" s="384"/>
      <c r="AS100" s="383"/>
      <c r="AT100" s="385"/>
      <c r="AU100" s="480"/>
    </row>
    <row r="101" spans="1:47" ht="15.75" customHeight="1" x14ac:dyDescent="0.25">
      <c r="F101" s="479"/>
      <c r="G101" s="553">
        <f>SUM(G14:G99)</f>
        <v>1.0000000000000002</v>
      </c>
      <c r="H101" s="347">
        <f>SUM(H14:H99)</f>
        <v>0</v>
      </c>
      <c r="I101" s="386">
        <f>SUM(I14:I99)</f>
        <v>13</v>
      </c>
      <c r="J101" s="387">
        <f>SUMPRODUCT(G14:G99,J14:J99)</f>
        <v>130.44744525547446</v>
      </c>
      <c r="K101" s="559">
        <f>SUMPRODUCT(H14:H99,K14:K99)</f>
        <v>0</v>
      </c>
      <c r="L101" s="388">
        <f>SUM(L14:L99)</f>
        <v>0</v>
      </c>
      <c r="M101" s="389">
        <f>SUMPRODUCT(H14:H99,M14:M99)</f>
        <v>0</v>
      </c>
      <c r="N101" s="479"/>
      <c r="O101" s="341"/>
      <c r="P101" s="347">
        <f>SUM(P14:P99)</f>
        <v>1.0000000000000002</v>
      </c>
      <c r="Q101" s="347">
        <f>SUM(Q14:Q99)</f>
        <v>0</v>
      </c>
      <c r="R101" s="386">
        <f>SUM(R14:R99)</f>
        <v>13</v>
      </c>
      <c r="S101" s="387">
        <f>SUMPRODUCT(P14:P99,S14:S99)</f>
        <v>130.44744525547446</v>
      </c>
      <c r="T101" s="388">
        <f>SUMPRODUCT(Q14:Q99,T14:T99)</f>
        <v>0</v>
      </c>
      <c r="U101" s="388">
        <f>SUM(U14:U99)</f>
        <v>0</v>
      </c>
      <c r="V101" s="397">
        <f>SUMPRODUCT(Q14:Q99,V14:V99)</f>
        <v>0</v>
      </c>
      <c r="W101" s="341"/>
      <c r="X101" s="347">
        <f>SUM(X14:X99)</f>
        <v>0</v>
      </c>
      <c r="Y101" s="347">
        <f>SUM(Y14:Y99)</f>
        <v>1</v>
      </c>
      <c r="Z101" s="388">
        <f>SUM(Z14:Z99)</f>
        <v>0</v>
      </c>
      <c r="AA101" s="396">
        <f>SUMPRODUCT(X14:X99,AA14:AA99)</f>
        <v>0</v>
      </c>
      <c r="AB101" s="559">
        <f>SUMPRODUCT(Y14:Y99,AB14:AB99)</f>
        <v>0.49049999999999999</v>
      </c>
      <c r="AC101" s="388">
        <f>SUM(AC14:AC99)</f>
        <v>21366.18</v>
      </c>
      <c r="AD101" s="389">
        <f>SUMPRODUCT(Y14:Y99,AD14:AD99)</f>
        <v>1.1719999999999999</v>
      </c>
      <c r="AE101" s="341"/>
      <c r="AF101" s="347">
        <f>SUM(AF14:AF99)</f>
        <v>1</v>
      </c>
      <c r="AG101" s="347">
        <f>SUM(AG14:AG99)</f>
        <v>0</v>
      </c>
      <c r="AH101" s="386">
        <f>SUM(AH14:AH99)</f>
        <v>8.5799999999999983</v>
      </c>
      <c r="AI101" s="387">
        <f>SUMPRODUCT(AF14:AF99,AI14:AI99)</f>
        <v>229.4</v>
      </c>
      <c r="AJ101" s="388">
        <f>SUMPRODUCT(AG14:AG99,AJ14:AJ99)</f>
        <v>0</v>
      </c>
      <c r="AK101" s="388">
        <f>SUM(AK14:AK99)</f>
        <v>0</v>
      </c>
      <c r="AL101" s="397">
        <f>SUMPRODUCT(AG14:AG99,AL14:AL99)</f>
        <v>0</v>
      </c>
      <c r="AM101" s="341"/>
      <c r="AN101" s="347">
        <f>SUM(AN14:AN99)</f>
        <v>0</v>
      </c>
      <c r="AO101" s="347">
        <f>SUM(AO14:AO99)</f>
        <v>1.0000000000000002</v>
      </c>
      <c r="AP101" s="388">
        <f>SUM(AP14:AP99)</f>
        <v>0</v>
      </c>
      <c r="AQ101" s="396">
        <f>SUMPRODUCT(AN14:AN99,AQ14:AQ99)</f>
        <v>0</v>
      </c>
      <c r="AR101" s="386">
        <f>SUMPRODUCT(AO14:AO99,AR14:AR99)</f>
        <v>0.30410000000000004</v>
      </c>
      <c r="AS101" s="388">
        <f>SUM(AS14:AS99)</f>
        <v>16949.196000000004</v>
      </c>
      <c r="AT101" s="389">
        <f>SUMPRODUCT(AO14:AO99,AT14:AT99)</f>
        <v>1.2104999999999999</v>
      </c>
      <c r="AU101" s="489"/>
    </row>
    <row r="102" spans="1:47" ht="15.75" customHeight="1" x14ac:dyDescent="0.25">
      <c r="F102" s="479"/>
      <c r="G102" s="368"/>
      <c r="H102" s="369"/>
      <c r="M102" s="343"/>
      <c r="N102" s="479"/>
      <c r="O102" s="368"/>
      <c r="P102" s="369"/>
      <c r="Q102" s="369"/>
      <c r="R102" s="306"/>
      <c r="S102" s="306"/>
      <c r="T102" s="306"/>
      <c r="U102" s="306"/>
      <c r="V102" s="343"/>
      <c r="W102" s="368"/>
      <c r="X102" s="369"/>
      <c r="Y102" s="369"/>
      <c r="Z102" s="306"/>
      <c r="AA102" s="306"/>
      <c r="AB102" s="306"/>
      <c r="AC102" s="306"/>
      <c r="AD102" s="343"/>
      <c r="AE102" s="368"/>
      <c r="AF102" s="369"/>
      <c r="AG102" s="369"/>
      <c r="AH102" s="306"/>
      <c r="AI102" s="306"/>
      <c r="AJ102" s="306"/>
      <c r="AK102" s="306"/>
      <c r="AL102" s="343"/>
      <c r="AM102" s="368"/>
      <c r="AN102" s="369"/>
      <c r="AO102" s="369"/>
      <c r="AP102" s="306"/>
      <c r="AQ102" s="306"/>
      <c r="AR102" s="306"/>
      <c r="AS102" s="306"/>
      <c r="AT102" s="343"/>
      <c r="AU102" s="480"/>
    </row>
    <row r="103" spans="1:47" ht="15.75" customHeight="1" x14ac:dyDescent="0.25">
      <c r="A103" s="308"/>
      <c r="F103" s="479"/>
      <c r="G103" s="368"/>
      <c r="H103" s="369"/>
      <c r="I103" s="390" t="s">
        <v>653</v>
      </c>
      <c r="J103" s="457">
        <f>I101*(L2/43560)</f>
        <v>2.9843893480257115</v>
      </c>
      <c r="K103" s="392"/>
      <c r="L103" s="390" t="s">
        <v>654</v>
      </c>
      <c r="M103" s="460">
        <f>K101*M2</f>
        <v>0</v>
      </c>
      <c r="N103" s="479"/>
      <c r="O103" s="368"/>
      <c r="P103" s="369"/>
      <c r="Q103" s="369"/>
      <c r="R103" s="390" t="s">
        <v>653</v>
      </c>
      <c r="S103" s="457">
        <f>R101*(U2/43560)</f>
        <v>2.9843893480257115</v>
      </c>
      <c r="T103" s="392"/>
      <c r="U103" s="390" t="s">
        <v>654</v>
      </c>
      <c r="V103" s="460">
        <f>T101*V2</f>
        <v>0</v>
      </c>
      <c r="W103" s="368"/>
      <c r="X103" s="369"/>
      <c r="Y103" s="369"/>
      <c r="Z103" s="390" t="s">
        <v>653</v>
      </c>
      <c r="AA103" s="457">
        <f>Z101*(AC2/43560)</f>
        <v>0</v>
      </c>
      <c r="AB103" s="392"/>
      <c r="AC103" s="390" t="s">
        <v>654</v>
      </c>
      <c r="AD103" s="457">
        <f>AB101*AD2</f>
        <v>4905</v>
      </c>
      <c r="AE103" s="368"/>
      <c r="AF103" s="369"/>
      <c r="AG103" s="369"/>
      <c r="AH103" s="390" t="s">
        <v>653</v>
      </c>
      <c r="AI103" s="457">
        <f>AH101*(AK2/43560)</f>
        <v>1.9696969696969693</v>
      </c>
      <c r="AJ103" s="392"/>
      <c r="AK103" s="390" t="s">
        <v>654</v>
      </c>
      <c r="AL103" s="457">
        <f>AJ101*AL2</f>
        <v>0</v>
      </c>
      <c r="AM103" s="368"/>
      <c r="AN103" s="369"/>
      <c r="AO103" s="369"/>
      <c r="AP103" s="390" t="s">
        <v>653</v>
      </c>
      <c r="AQ103" s="457">
        <f>AP101*(AS2/43560)</f>
        <v>0</v>
      </c>
      <c r="AR103" s="392"/>
      <c r="AS103" s="390" t="s">
        <v>654</v>
      </c>
      <c r="AT103" s="460">
        <f>AR101*AT2</f>
        <v>3041.0000000000005</v>
      </c>
      <c r="AU103" s="490"/>
    </row>
    <row r="104" spans="1:47" ht="15.75" customHeight="1" x14ac:dyDescent="0.25">
      <c r="A104" s="308"/>
      <c r="F104" s="479"/>
      <c r="G104" s="368"/>
      <c r="H104" s="369"/>
      <c r="I104" s="390" t="s">
        <v>639</v>
      </c>
      <c r="J104" s="391">
        <f>SUMPRODUCT(I14:I99,J14:J99)</f>
        <v>1695.8167883211681</v>
      </c>
      <c r="K104" s="392"/>
      <c r="L104" s="390" t="s">
        <v>640</v>
      </c>
      <c r="M104" s="393">
        <f>SUMPRODUCT(L14:L99,M14:M99)</f>
        <v>0</v>
      </c>
      <c r="N104" s="479"/>
      <c r="O104" s="368"/>
      <c r="P104" s="369"/>
      <c r="Q104" s="369"/>
      <c r="R104" s="390" t="s">
        <v>639</v>
      </c>
      <c r="S104" s="391">
        <f>SUMPRODUCT(R14:R99,S14:S99)</f>
        <v>1695.8167883211681</v>
      </c>
      <c r="T104" s="392"/>
      <c r="U104" s="390" t="s">
        <v>640</v>
      </c>
      <c r="V104" s="393">
        <f>SUMPRODUCT(U14:U99,V14:V99)</f>
        <v>0</v>
      </c>
      <c r="W104" s="368"/>
      <c r="X104" s="369"/>
      <c r="Y104" s="369"/>
      <c r="Z104" s="390" t="s">
        <v>639</v>
      </c>
      <c r="AA104" s="391">
        <f>SUMPRODUCT(Z14:Z99,AA14:AA99)</f>
        <v>0</v>
      </c>
      <c r="AB104" s="392"/>
      <c r="AC104" s="390" t="s">
        <v>640</v>
      </c>
      <c r="AD104" s="393">
        <f>SUMPRODUCT(AC14:AC99,AD14:AD99)</f>
        <v>24623.814599999998</v>
      </c>
      <c r="AE104" s="368"/>
      <c r="AF104" s="369"/>
      <c r="AG104" s="369"/>
      <c r="AH104" s="390" t="s">
        <v>639</v>
      </c>
      <c r="AI104" s="391">
        <f>SUMPRODUCT(AH14:AH99,AI14:AI99)</f>
        <v>2332.1999999999998</v>
      </c>
      <c r="AJ104" s="392"/>
      <c r="AK104" s="390" t="s">
        <v>640</v>
      </c>
      <c r="AL104" s="393">
        <f>SUMPRODUCT(AK14:AK99,AL14:AL99)</f>
        <v>0</v>
      </c>
      <c r="AM104" s="368"/>
      <c r="AN104" s="369"/>
      <c r="AO104" s="369"/>
      <c r="AP104" s="390" t="s">
        <v>639</v>
      </c>
      <c r="AQ104" s="391">
        <f>SUMPRODUCT(AP14:AP99,AQ14:AQ99)</f>
        <v>0</v>
      </c>
      <c r="AR104" s="392"/>
      <c r="AS104" s="390" t="s">
        <v>640</v>
      </c>
      <c r="AT104" s="393">
        <f>SUMPRODUCT(AS14:AS99,AT14:AT99)</f>
        <v>22286.733480000003</v>
      </c>
      <c r="AU104" s="491"/>
    </row>
    <row r="105" spans="1:47" ht="15.75" customHeight="1" x14ac:dyDescent="0.25">
      <c r="A105" s="300"/>
      <c r="F105" s="479"/>
      <c r="G105" s="368"/>
      <c r="H105" s="369"/>
      <c r="I105" s="390" t="s">
        <v>641</v>
      </c>
      <c r="J105" s="394">
        <f>(J104/43560)*1000</f>
        <v>38.930596609760521</v>
      </c>
      <c r="K105" s="392"/>
      <c r="L105" s="390" t="s">
        <v>642</v>
      </c>
      <c r="M105" s="393">
        <f>(M104/43560)*1000</f>
        <v>0</v>
      </c>
      <c r="N105" s="479"/>
      <c r="O105" s="368"/>
      <c r="P105" s="369"/>
      <c r="Q105" s="369"/>
      <c r="R105" s="390" t="s">
        <v>641</v>
      </c>
      <c r="S105" s="394">
        <f>(S104/43560)*1000</f>
        <v>38.930596609760521</v>
      </c>
      <c r="T105" s="392"/>
      <c r="U105" s="390" t="s">
        <v>642</v>
      </c>
      <c r="V105" s="393">
        <f>(V104/43560)*1000</f>
        <v>0</v>
      </c>
      <c r="W105" s="368"/>
      <c r="X105" s="369"/>
      <c r="Y105" s="369"/>
      <c r="Z105" s="390" t="s">
        <v>641</v>
      </c>
      <c r="AA105" s="394">
        <f>(AA104/43560)*1000</f>
        <v>0</v>
      </c>
      <c r="AB105" s="392"/>
      <c r="AC105" s="390" t="s">
        <v>642</v>
      </c>
      <c r="AD105" s="393">
        <f>(AD104/43560)*1000</f>
        <v>565.28499999999997</v>
      </c>
      <c r="AE105" s="368"/>
      <c r="AF105" s="369"/>
      <c r="AG105" s="369"/>
      <c r="AH105" s="390" t="s">
        <v>641</v>
      </c>
      <c r="AI105" s="394">
        <f>(AI104/43560)*1000</f>
        <v>53.539944903581265</v>
      </c>
      <c r="AJ105" s="392"/>
      <c r="AK105" s="390" t="s">
        <v>642</v>
      </c>
      <c r="AL105" s="393">
        <f>(AL104/43560)*1000</f>
        <v>0</v>
      </c>
      <c r="AM105" s="368"/>
      <c r="AN105" s="369"/>
      <c r="AO105" s="369"/>
      <c r="AP105" s="390" t="s">
        <v>641</v>
      </c>
      <c r="AQ105" s="394">
        <f>(AQ104/43560)*1000</f>
        <v>0</v>
      </c>
      <c r="AR105" s="392"/>
      <c r="AS105" s="390" t="s">
        <v>642</v>
      </c>
      <c r="AT105" s="393">
        <f>(AT104/43560)*1000</f>
        <v>511.63299999999998</v>
      </c>
      <c r="AU105" s="491"/>
    </row>
    <row r="106" spans="1:47" ht="15.75" customHeight="1" x14ac:dyDescent="0.25">
      <c r="A106" s="300"/>
      <c r="F106" s="479"/>
      <c r="G106" s="554"/>
      <c r="H106" s="369"/>
      <c r="I106" s="306"/>
      <c r="J106" s="306"/>
      <c r="K106" s="306"/>
      <c r="L106" s="306"/>
      <c r="M106" s="343"/>
      <c r="N106" s="479"/>
      <c r="O106" s="368"/>
      <c r="P106" s="395"/>
      <c r="Q106" s="369"/>
      <c r="R106" s="306"/>
      <c r="S106" s="306"/>
      <c r="T106" s="306"/>
      <c r="U106" s="306"/>
      <c r="V106" s="343"/>
      <c r="W106" s="368"/>
      <c r="X106" s="369"/>
      <c r="Y106" s="369"/>
      <c r="Z106" s="306"/>
      <c r="AA106" s="306"/>
      <c r="AB106" s="306"/>
      <c r="AC106" s="306"/>
      <c r="AD106" s="343"/>
      <c r="AE106" s="368"/>
      <c r="AF106" s="369"/>
      <c r="AG106" s="369"/>
      <c r="AH106" s="306"/>
      <c r="AI106" s="306"/>
      <c r="AJ106" s="306"/>
      <c r="AK106" s="306"/>
      <c r="AL106" s="343"/>
      <c r="AM106" s="368"/>
      <c r="AN106" s="369"/>
      <c r="AO106" s="369"/>
      <c r="AP106" s="306"/>
      <c r="AQ106" s="306"/>
      <c r="AR106" s="306"/>
      <c r="AS106" s="306"/>
      <c r="AT106" s="343"/>
      <c r="AU106" s="480"/>
    </row>
    <row r="107" spans="1:47" ht="15.75" customHeight="1" x14ac:dyDescent="0.25">
      <c r="F107" s="479"/>
      <c r="G107" s="368"/>
      <c r="H107" s="369"/>
      <c r="I107" s="386" t="s">
        <v>636</v>
      </c>
      <c r="J107" s="396">
        <f>(J104/43560)*L2</f>
        <v>389.30596609760516</v>
      </c>
      <c r="K107" s="306"/>
      <c r="L107" s="386" t="s">
        <v>637</v>
      </c>
      <c r="M107" s="397">
        <f>(M104/43560)*M2</f>
        <v>0</v>
      </c>
      <c r="N107" s="479"/>
      <c r="O107" s="368"/>
      <c r="P107" s="369"/>
      <c r="Q107" s="369"/>
      <c r="R107" s="386" t="s">
        <v>636</v>
      </c>
      <c r="S107" s="396">
        <f>(S104/43560)*U2</f>
        <v>389.30596609760516</v>
      </c>
      <c r="T107" s="306"/>
      <c r="U107" s="386" t="s">
        <v>637</v>
      </c>
      <c r="V107" s="397">
        <f>(V104/43560)*V2</f>
        <v>0</v>
      </c>
      <c r="W107" s="368"/>
      <c r="X107" s="369"/>
      <c r="Y107" s="369"/>
      <c r="Z107" s="386" t="s">
        <v>636</v>
      </c>
      <c r="AA107" s="396">
        <f>(AA104/43560)*AC2</f>
        <v>0</v>
      </c>
      <c r="AB107" s="306"/>
      <c r="AC107" s="386" t="s">
        <v>637</v>
      </c>
      <c r="AD107" s="397">
        <f>(AD104/43560)*AD2</f>
        <v>5652.8499999999995</v>
      </c>
      <c r="AE107" s="368"/>
      <c r="AF107" s="369"/>
      <c r="AG107" s="369"/>
      <c r="AH107" s="386" t="s">
        <v>636</v>
      </c>
      <c r="AI107" s="396">
        <f>(AI104/43560)*AK2</f>
        <v>535.39944903581261</v>
      </c>
      <c r="AJ107" s="306"/>
      <c r="AK107" s="386" t="s">
        <v>637</v>
      </c>
      <c r="AL107" s="397">
        <f>(AL104/43560)*AL2</f>
        <v>0</v>
      </c>
      <c r="AM107" s="368"/>
      <c r="AN107" s="369"/>
      <c r="AO107" s="369"/>
      <c r="AP107" s="386" t="s">
        <v>636</v>
      </c>
      <c r="AQ107" s="396">
        <f>(AQ104/43560)*AS2</f>
        <v>0</v>
      </c>
      <c r="AR107" s="306"/>
      <c r="AS107" s="386" t="s">
        <v>637</v>
      </c>
      <c r="AT107" s="397">
        <f>(AT104/43560)*AT2</f>
        <v>5116.33</v>
      </c>
      <c r="AU107" s="492"/>
    </row>
    <row r="108" spans="1:47" ht="15.75" customHeight="1" x14ac:dyDescent="0.25">
      <c r="F108" s="479"/>
      <c r="G108" s="554"/>
      <c r="H108" s="369"/>
      <c r="I108" s="306"/>
      <c r="J108" s="306"/>
      <c r="K108" s="306"/>
      <c r="L108" s="306"/>
      <c r="M108" s="343"/>
      <c r="N108" s="479"/>
      <c r="O108" s="368"/>
      <c r="P108" s="395"/>
      <c r="Q108" s="369"/>
      <c r="R108" s="306"/>
      <c r="S108" s="306"/>
      <c r="T108" s="306"/>
      <c r="U108" s="306"/>
      <c r="V108" s="343"/>
      <c r="W108" s="368"/>
      <c r="X108" s="369"/>
      <c r="Y108" s="369"/>
      <c r="Z108" s="306"/>
      <c r="AA108" s="306"/>
      <c r="AB108" s="306"/>
      <c r="AC108" s="306"/>
      <c r="AD108" s="343"/>
      <c r="AE108" s="368"/>
      <c r="AF108" s="369"/>
      <c r="AG108" s="369"/>
      <c r="AH108" s="306"/>
      <c r="AI108" s="306"/>
      <c r="AJ108" s="306"/>
      <c r="AK108" s="306"/>
      <c r="AL108" s="343"/>
      <c r="AM108" s="368"/>
      <c r="AN108" s="369"/>
      <c r="AO108" s="369"/>
      <c r="AP108" s="306"/>
      <c r="AQ108" s="306"/>
      <c r="AR108" s="306"/>
      <c r="AS108" s="306"/>
      <c r="AT108" s="343"/>
      <c r="AU108" s="480"/>
    </row>
    <row r="109" spans="1:47" ht="15.75" customHeight="1" x14ac:dyDescent="0.25">
      <c r="F109" s="479"/>
      <c r="G109" s="368"/>
      <c r="H109" s="369"/>
      <c r="I109" s="306"/>
      <c r="J109" s="306"/>
      <c r="K109" s="386" t="s">
        <v>638</v>
      </c>
      <c r="L109" s="396">
        <f>J107+M107</f>
        <v>389.30596609760516</v>
      </c>
      <c r="M109" s="343"/>
      <c r="N109" s="479"/>
      <c r="O109" s="368"/>
      <c r="P109" s="369"/>
      <c r="Q109" s="369"/>
      <c r="R109" s="306"/>
      <c r="S109" s="306"/>
      <c r="T109" s="386" t="s">
        <v>638</v>
      </c>
      <c r="U109" s="396">
        <f>S107+V107</f>
        <v>389.30596609760516</v>
      </c>
      <c r="V109" s="343"/>
      <c r="W109" s="368"/>
      <c r="X109" s="369"/>
      <c r="Y109" s="369"/>
      <c r="Z109" s="306"/>
      <c r="AA109" s="306"/>
      <c r="AB109" s="386" t="s">
        <v>638</v>
      </c>
      <c r="AC109" s="396">
        <f>AA107+AD107</f>
        <v>5652.8499999999995</v>
      </c>
      <c r="AD109" s="343"/>
      <c r="AE109" s="368"/>
      <c r="AF109" s="369"/>
      <c r="AG109" s="369"/>
      <c r="AH109" s="306"/>
      <c r="AI109" s="306"/>
      <c r="AJ109" s="386" t="s">
        <v>638</v>
      </c>
      <c r="AK109" s="396">
        <f>AI107+AL107</f>
        <v>535.39944903581261</v>
      </c>
      <c r="AL109" s="343"/>
      <c r="AM109" s="368"/>
      <c r="AN109" s="369"/>
      <c r="AO109" s="369"/>
      <c r="AP109" s="306"/>
      <c r="AQ109" s="306"/>
      <c r="AR109" s="386" t="s">
        <v>638</v>
      </c>
      <c r="AS109" s="396">
        <f>AQ107+AT107</f>
        <v>5116.33</v>
      </c>
      <c r="AT109" s="343"/>
      <c r="AU109" s="480"/>
    </row>
    <row r="110" spans="1:47" ht="15.75" customHeight="1" x14ac:dyDescent="0.25">
      <c r="F110" s="479"/>
      <c r="G110" s="368"/>
      <c r="H110" s="369"/>
      <c r="I110" s="306"/>
      <c r="J110" s="306"/>
      <c r="K110" s="386" t="s">
        <v>643</v>
      </c>
      <c r="L110" s="396">
        <f>(L109/(J2*K2))*43560</f>
        <v>1695.8167883211681</v>
      </c>
      <c r="M110" s="343"/>
      <c r="N110" s="479"/>
      <c r="O110" s="368"/>
      <c r="P110" s="369"/>
      <c r="Q110" s="369"/>
      <c r="R110" s="306"/>
      <c r="S110" s="306"/>
      <c r="T110" s="386" t="s">
        <v>643</v>
      </c>
      <c r="U110" s="396">
        <f>(U109/(S2*T2))*43560</f>
        <v>1695.8167883211681</v>
      </c>
      <c r="V110" s="343"/>
      <c r="W110" s="368"/>
      <c r="X110" s="369"/>
      <c r="Y110" s="369"/>
      <c r="Z110" s="306"/>
      <c r="AA110" s="306"/>
      <c r="AB110" s="386" t="s">
        <v>643</v>
      </c>
      <c r="AC110" s="396">
        <f>(AC109/(AA2*AB2))*43560</f>
        <v>24623.814599999998</v>
      </c>
      <c r="AD110" s="343"/>
      <c r="AE110" s="368"/>
      <c r="AF110" s="369"/>
      <c r="AG110" s="369"/>
      <c r="AH110" s="306"/>
      <c r="AI110" s="306"/>
      <c r="AJ110" s="386" t="s">
        <v>643</v>
      </c>
      <c r="AK110" s="396">
        <f>(AK109/(AI2*AJ2))*43560</f>
        <v>2332.1999999999994</v>
      </c>
      <c r="AL110" s="343"/>
      <c r="AM110" s="368"/>
      <c r="AN110" s="369"/>
      <c r="AO110" s="369"/>
      <c r="AP110" s="306"/>
      <c r="AQ110" s="306"/>
      <c r="AR110" s="386" t="s">
        <v>643</v>
      </c>
      <c r="AS110" s="396">
        <f>(AS109/(AQ2*AR2))*43560</f>
        <v>22286.733479999999</v>
      </c>
      <c r="AT110" s="343"/>
      <c r="AU110" s="480"/>
    </row>
    <row r="111" spans="1:47" ht="15.75" customHeight="1" x14ac:dyDescent="0.25">
      <c r="F111" s="479"/>
      <c r="G111" s="368"/>
      <c r="H111" s="369"/>
      <c r="I111" s="306"/>
      <c r="J111" s="306"/>
      <c r="K111" s="386" t="s">
        <v>644</v>
      </c>
      <c r="L111" s="396">
        <f>(L109/(J2*K2))*1000</f>
        <v>38.930596609760521</v>
      </c>
      <c r="M111" s="343"/>
      <c r="N111" s="479"/>
      <c r="O111" s="368"/>
      <c r="P111" s="369"/>
      <c r="Q111" s="369"/>
      <c r="R111" s="306"/>
      <c r="S111" s="306"/>
      <c r="T111" s="386" t="s">
        <v>644</v>
      </c>
      <c r="U111" s="396">
        <f>(U109/(S2*T2))*1000</f>
        <v>38.930596609760521</v>
      </c>
      <c r="V111" s="343"/>
      <c r="W111" s="368"/>
      <c r="X111" s="369"/>
      <c r="Y111" s="369"/>
      <c r="Z111" s="306"/>
      <c r="AA111" s="306"/>
      <c r="AB111" s="386" t="s">
        <v>644</v>
      </c>
      <c r="AC111" s="396">
        <f>(AC109/(AA2*AB2))*1000</f>
        <v>565.28499999999997</v>
      </c>
      <c r="AD111" s="343"/>
      <c r="AE111" s="368"/>
      <c r="AF111" s="369"/>
      <c r="AG111" s="369"/>
      <c r="AH111" s="306"/>
      <c r="AI111" s="306"/>
      <c r="AJ111" s="386" t="s">
        <v>644</v>
      </c>
      <c r="AK111" s="396">
        <f>(AK109/(AI2*AJ2))*1000</f>
        <v>53.539944903581258</v>
      </c>
      <c r="AL111" s="343"/>
      <c r="AM111" s="368"/>
      <c r="AN111" s="369"/>
      <c r="AO111" s="369"/>
      <c r="AP111" s="306"/>
      <c r="AQ111" s="306"/>
      <c r="AR111" s="386" t="s">
        <v>644</v>
      </c>
      <c r="AS111" s="396">
        <f>(AS109/(AQ2*AR2))*1000</f>
        <v>511.63299999999998</v>
      </c>
      <c r="AT111" s="343"/>
      <c r="AU111" s="480"/>
    </row>
    <row r="112" spans="1:47" ht="15.75" customHeight="1" thickBot="1" x14ac:dyDescent="0.3">
      <c r="F112" s="479"/>
      <c r="G112" s="360"/>
      <c r="H112" s="361"/>
      <c r="I112" s="362"/>
      <c r="J112" s="362"/>
      <c r="K112" s="362"/>
      <c r="L112" s="362"/>
      <c r="M112" s="363"/>
      <c r="N112" s="479"/>
      <c r="O112" s="360"/>
      <c r="P112" s="361"/>
      <c r="Q112" s="361"/>
      <c r="R112" s="362"/>
      <c r="S112" s="362"/>
      <c r="T112" s="362"/>
      <c r="U112" s="362"/>
      <c r="V112" s="363"/>
      <c r="W112" s="360"/>
      <c r="X112" s="361"/>
      <c r="Y112" s="361"/>
      <c r="Z112" s="362"/>
      <c r="AA112" s="362"/>
      <c r="AB112" s="362"/>
      <c r="AC112" s="362"/>
      <c r="AD112" s="363"/>
      <c r="AE112" s="360"/>
      <c r="AF112" s="361"/>
      <c r="AG112" s="361"/>
      <c r="AH112" s="362"/>
      <c r="AI112" s="362"/>
      <c r="AJ112" s="362"/>
      <c r="AK112" s="362"/>
      <c r="AL112" s="363"/>
      <c r="AM112" s="360"/>
      <c r="AN112" s="361"/>
      <c r="AO112" s="361"/>
      <c r="AP112" s="362"/>
      <c r="AQ112" s="362"/>
      <c r="AR112" s="362"/>
      <c r="AS112" s="362"/>
      <c r="AT112" s="363"/>
      <c r="AU112" s="480"/>
    </row>
    <row r="113" spans="18:42" ht="15.75" customHeight="1" x14ac:dyDescent="0.25"/>
    <row r="114" spans="18:42" ht="15.75" customHeight="1" x14ac:dyDescent="0.25"/>
    <row r="115" spans="18:42" ht="15.75" customHeight="1" x14ac:dyDescent="0.25">
      <c r="R115" s="398"/>
      <c r="Z115" s="398"/>
      <c r="AH115" s="398"/>
      <c r="AP115" s="398"/>
    </row>
    <row r="116" spans="18:42" ht="15.75" customHeight="1" x14ac:dyDescent="0.25"/>
    <row r="117" spans="18:42" ht="15.75" customHeight="1" x14ac:dyDescent="0.25">
      <c r="R117" s="398"/>
      <c r="Z117" s="398"/>
      <c r="AH117" s="398"/>
      <c r="AP117" s="398"/>
    </row>
    <row r="118" spans="18:42" ht="15.75" customHeight="1" x14ac:dyDescent="0.25"/>
    <row r="119" spans="18:42" ht="15.75" customHeight="1" x14ac:dyDescent="0.25"/>
    <row r="120" spans="18:42" ht="15.75" customHeight="1" x14ac:dyDescent="0.25"/>
    <row r="121" spans="18:42" ht="15.75" customHeight="1" x14ac:dyDescent="0.25"/>
    <row r="122" spans="18:42" ht="15.75" customHeight="1" x14ac:dyDescent="0.25"/>
    <row r="123" spans="18:42" ht="15.75" customHeight="1" x14ac:dyDescent="0.25"/>
    <row r="124" spans="18:42" ht="15.75" customHeight="1" x14ac:dyDescent="0.25"/>
    <row r="125" spans="18:42" ht="15.75" customHeight="1" x14ac:dyDescent="0.25"/>
    <row r="126" spans="18:42" ht="15.75" customHeight="1" x14ac:dyDescent="0.25"/>
    <row r="127" spans="18:42" ht="15.75" customHeight="1" x14ac:dyDescent="0.25"/>
    <row r="128" spans="18:4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</sheetData>
  <autoFilter ref="A13:AT99"/>
  <printOptions gridLines="1"/>
  <pageMargins left="0.7" right="0.7" top="0.75" bottom="0.75" header="0.3" footer="0.3"/>
  <pageSetup scale="31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1"/>
  <sheetViews>
    <sheetView zoomScaleNormal="100" workbookViewId="0">
      <selection activeCell="I96" sqref="I96:J96"/>
    </sheetView>
  </sheetViews>
  <sheetFormatPr defaultRowHeight="13.2" x14ac:dyDescent="0.25"/>
  <cols>
    <col min="1" max="1" width="40.77734375" customWidth="1"/>
    <col min="2" max="2" width="18.6640625" customWidth="1"/>
    <col min="4" max="4" width="11.77734375" customWidth="1"/>
    <col min="6" max="6" width="14.77734375" customWidth="1"/>
    <col min="8" max="8" width="9.109375" style="96"/>
    <col min="10" max="10" width="9.44140625" bestFit="1" customWidth="1"/>
  </cols>
  <sheetData>
    <row r="1" spans="1:6" x14ac:dyDescent="0.25">
      <c r="A1" s="93" t="s">
        <v>211</v>
      </c>
      <c r="B1" s="94" t="str">
        <f>'POLLINATOR PLANTING'!A3</f>
        <v>UNH Woodman Farm</v>
      </c>
      <c r="C1" s="94"/>
      <c r="D1" s="94"/>
      <c r="E1" s="95"/>
      <c r="F1" s="95"/>
    </row>
    <row r="2" spans="1:6" x14ac:dyDescent="0.25">
      <c r="A2" s="95"/>
      <c r="B2" s="94"/>
      <c r="C2" s="94"/>
      <c r="D2" s="94"/>
      <c r="E2" s="95"/>
      <c r="F2" s="95"/>
    </row>
    <row r="3" spans="1:6" x14ac:dyDescent="0.25">
      <c r="A3" s="97" t="s">
        <v>708</v>
      </c>
      <c r="B3" s="98" t="s">
        <v>212</v>
      </c>
      <c r="C3" s="250">
        <f>beepasture</f>
        <v>0.16437098255280069</v>
      </c>
      <c r="D3" s="95" t="s">
        <v>36</v>
      </c>
      <c r="E3" s="95"/>
      <c r="F3" s="95"/>
    </row>
    <row r="4" spans="1:6" x14ac:dyDescent="0.25">
      <c r="A4" s="100"/>
      <c r="B4" s="98" t="s">
        <v>213</v>
      </c>
      <c r="C4" s="99">
        <f>'POLLINATOR PLANTING'!N14</f>
        <v>0</v>
      </c>
      <c r="D4" s="95" t="s">
        <v>214</v>
      </c>
      <c r="E4" s="99">
        <f>C4</f>
        <v>0</v>
      </c>
      <c r="F4" s="95" t="s">
        <v>0</v>
      </c>
    </row>
    <row r="5" spans="1:6" x14ac:dyDescent="0.25">
      <c r="A5" s="95"/>
      <c r="B5" s="98" t="s">
        <v>1</v>
      </c>
      <c r="C5" s="177">
        <f>'POLLINATOR PLANTING'!L14</f>
        <v>0</v>
      </c>
      <c r="D5" s="95" t="s">
        <v>215</v>
      </c>
      <c r="E5" s="95"/>
      <c r="F5" s="95"/>
    </row>
    <row r="6" spans="1:6" x14ac:dyDescent="0.25">
      <c r="A6" s="95"/>
      <c r="B6" s="98"/>
      <c r="C6" s="99"/>
      <c r="D6" s="95"/>
      <c r="E6" s="95"/>
      <c r="F6" s="95"/>
    </row>
    <row r="7" spans="1:6" x14ac:dyDescent="0.25">
      <c r="A7" s="101"/>
      <c r="B7" s="102" t="s">
        <v>183</v>
      </c>
      <c r="C7" s="102"/>
      <c r="D7" s="102" t="s">
        <v>2</v>
      </c>
      <c r="E7" s="103"/>
      <c r="F7" s="102" t="s">
        <v>461</v>
      </c>
    </row>
    <row r="8" spans="1:6" x14ac:dyDescent="0.25">
      <c r="A8" s="95" t="s">
        <v>3</v>
      </c>
      <c r="B8" s="104">
        <f>C3</f>
        <v>0.16437098255280069</v>
      </c>
      <c r="C8" s="105"/>
      <c r="D8" s="106" t="s">
        <v>75</v>
      </c>
      <c r="E8" s="98"/>
      <c r="F8" s="106" t="s">
        <v>75</v>
      </c>
    </row>
    <row r="9" spans="1:6" x14ac:dyDescent="0.25">
      <c r="A9" s="95" t="s">
        <v>707</v>
      </c>
      <c r="B9" s="106" t="s">
        <v>75</v>
      </c>
      <c r="C9" s="105"/>
      <c r="D9" s="106" t="s">
        <v>75</v>
      </c>
      <c r="E9" s="98"/>
      <c r="F9" s="106" t="s">
        <v>75</v>
      </c>
    </row>
    <row r="10" spans="1:6" x14ac:dyDescent="0.25">
      <c r="A10" s="95" t="s">
        <v>156</v>
      </c>
      <c r="B10" s="178">
        <f>C5</f>
        <v>0</v>
      </c>
      <c r="C10" s="105"/>
      <c r="D10" s="106" t="s">
        <v>75</v>
      </c>
      <c r="E10" s="98"/>
      <c r="F10" s="106" t="s">
        <v>75</v>
      </c>
    </row>
    <row r="11" spans="1:6" ht="13.8" x14ac:dyDescent="0.3">
      <c r="A11" s="95"/>
      <c r="B11" s="107"/>
      <c r="C11" s="107"/>
      <c r="D11" s="108"/>
      <c r="E11" s="100"/>
      <c r="F11" s="108"/>
    </row>
    <row r="12" spans="1:6" x14ac:dyDescent="0.25">
      <c r="A12" s="97" t="s">
        <v>184</v>
      </c>
      <c r="B12" s="109">
        <f>beepasture*C4*C5</f>
        <v>0</v>
      </c>
      <c r="C12" s="110"/>
      <c r="D12" s="179">
        <f>B12/beepasture</f>
        <v>0</v>
      </c>
      <c r="E12" s="180"/>
      <c r="F12" s="179">
        <f>B12/((beepasture*43560)/1000)</f>
        <v>0</v>
      </c>
    </row>
    <row r="13" spans="1:6" x14ac:dyDescent="0.25">
      <c r="A13" s="95"/>
      <c r="B13" s="112"/>
      <c r="C13" s="113"/>
      <c r="D13" s="114"/>
      <c r="E13" s="115"/>
      <c r="F13" s="114"/>
    </row>
    <row r="14" spans="1:6" x14ac:dyDescent="0.25">
      <c r="A14" s="97" t="s">
        <v>4</v>
      </c>
      <c r="B14" s="116"/>
      <c r="C14" s="117"/>
      <c r="D14" s="114"/>
      <c r="E14" s="115"/>
      <c r="F14" s="114"/>
    </row>
    <row r="15" spans="1:6" x14ac:dyDescent="0.25">
      <c r="A15" s="118" t="s">
        <v>209</v>
      </c>
      <c r="B15" s="116"/>
      <c r="C15" s="117"/>
      <c r="D15" s="114"/>
      <c r="E15" s="115"/>
      <c r="F15" s="114"/>
    </row>
    <row r="16" spans="1:6" x14ac:dyDescent="0.25">
      <c r="A16" s="119" t="s">
        <v>5</v>
      </c>
      <c r="B16" s="120">
        <f>SUM('POLLINATOR PLANTING'!B21:B24)</f>
        <v>0</v>
      </c>
      <c r="C16" s="121"/>
      <c r="D16" s="123">
        <f>B16/beepasture</f>
        <v>0</v>
      </c>
      <c r="E16" s="115"/>
      <c r="F16" s="123">
        <f>B16/((beepasture*43560)/1000)</f>
        <v>0</v>
      </c>
    </row>
    <row r="17" spans="1:8" x14ac:dyDescent="0.25">
      <c r="A17" s="119" t="s">
        <v>208</v>
      </c>
      <c r="B17" s="120">
        <f>SUM('POLLINATOR PLANTING'!B25:B26)</f>
        <v>0</v>
      </c>
      <c r="C17" s="121"/>
      <c r="D17" s="123">
        <f>B17/beepasture</f>
        <v>0</v>
      </c>
      <c r="E17" s="122"/>
      <c r="F17" s="123">
        <f>B17/((beepasture*43560)/1000)</f>
        <v>0</v>
      </c>
    </row>
    <row r="18" spans="1:8" x14ac:dyDescent="0.25">
      <c r="A18" s="118" t="s">
        <v>6</v>
      </c>
      <c r="B18" s="116"/>
      <c r="C18" s="117"/>
      <c r="D18" s="114"/>
      <c r="E18" s="122"/>
      <c r="F18" s="114"/>
    </row>
    <row r="19" spans="1:8" x14ac:dyDescent="0.25">
      <c r="A19" s="119" t="s">
        <v>7</v>
      </c>
      <c r="B19" s="120">
        <f>SUM('POLLINATOR PLANTING'!B28)</f>
        <v>0</v>
      </c>
      <c r="C19" s="121"/>
      <c r="D19" s="123">
        <f t="shared" ref="D19:D26" si="0">B19/beepasture</f>
        <v>0</v>
      </c>
      <c r="E19" s="115"/>
      <c r="F19" s="123">
        <f t="shared" ref="F19:F26" si="1">B19/((beepasture*43560)/1000)</f>
        <v>0</v>
      </c>
    </row>
    <row r="20" spans="1:8" x14ac:dyDescent="0.25">
      <c r="A20" s="119" t="s">
        <v>350</v>
      </c>
      <c r="B20" s="120">
        <f>SUM('POLLINATOR PLANTING'!B29:B32)</f>
        <v>2.6717955755340217</v>
      </c>
      <c r="C20" s="121"/>
      <c r="D20" s="114">
        <f t="shared" si="0"/>
        <v>16.254666937187434</v>
      </c>
      <c r="E20" s="115"/>
      <c r="F20" s="114">
        <f t="shared" si="1"/>
        <v>0.37315580663882991</v>
      </c>
    </row>
    <row r="21" spans="1:8" x14ac:dyDescent="0.25">
      <c r="A21" s="119" t="s">
        <v>8</v>
      </c>
      <c r="B21" s="120">
        <f>SUM('POLLINATOR PLANTING'!B33)</f>
        <v>0</v>
      </c>
      <c r="C21" s="121"/>
      <c r="D21" s="123">
        <f t="shared" si="0"/>
        <v>0</v>
      </c>
      <c r="E21" s="115"/>
      <c r="F21" s="123">
        <f t="shared" si="1"/>
        <v>0</v>
      </c>
    </row>
    <row r="22" spans="1:8" x14ac:dyDescent="0.25">
      <c r="A22" s="119" t="s">
        <v>472</v>
      </c>
      <c r="B22" s="121">
        <f>SUM('POLLINATOR PLANTING'!B34:B35)</f>
        <v>6.2207897746922617E-3</v>
      </c>
      <c r="C22" s="121"/>
      <c r="D22" s="114">
        <f t="shared" ref="D22" si="2">B22/beepasture</f>
        <v>3.7846033880669691E-2</v>
      </c>
      <c r="E22" s="115"/>
      <c r="F22" s="114">
        <f t="shared" si="1"/>
        <v>8.6882538752685245E-4</v>
      </c>
    </row>
    <row r="23" spans="1:8" x14ac:dyDescent="0.25">
      <c r="A23" s="118" t="s">
        <v>237</v>
      </c>
      <c r="B23" s="120">
        <f>SUM('POLLINATOR PLANTING'!B36)</f>
        <v>0</v>
      </c>
      <c r="C23" s="117"/>
      <c r="D23" s="123">
        <f t="shared" si="0"/>
        <v>0</v>
      </c>
      <c r="E23" s="115"/>
      <c r="F23" s="123">
        <f t="shared" si="1"/>
        <v>0</v>
      </c>
    </row>
    <row r="24" spans="1:8" x14ac:dyDescent="0.25">
      <c r="A24" s="118" t="s">
        <v>240</v>
      </c>
      <c r="B24" s="120">
        <f>SUM('POLLINATOR PLANTING'!B37:B39)</f>
        <v>348.2999999999999</v>
      </c>
      <c r="C24" s="117"/>
      <c r="D24" s="114">
        <f t="shared" si="0"/>
        <v>2118.9871508379888</v>
      </c>
      <c r="E24" s="122"/>
      <c r="F24" s="114">
        <f t="shared" si="1"/>
        <v>48.645251396648042</v>
      </c>
    </row>
    <row r="25" spans="1:8" x14ac:dyDescent="0.25">
      <c r="A25" s="118" t="s">
        <v>351</v>
      </c>
      <c r="B25" s="116">
        <f>SUM('POLLINATOR PLANTING'!B41:B48)</f>
        <v>17.500357106417759</v>
      </c>
      <c r="C25" s="117"/>
      <c r="D25" s="114">
        <f t="shared" si="0"/>
        <v>106.46865301055276</v>
      </c>
      <c r="E25" s="122"/>
      <c r="F25" s="114">
        <f t="shared" si="1"/>
        <v>2.444183953410302</v>
      </c>
    </row>
    <row r="26" spans="1:8" x14ac:dyDescent="0.25">
      <c r="A26" s="118" t="s">
        <v>397</v>
      </c>
      <c r="B26" s="116">
        <f>SUM('POLLINATOR PLANTING'!B50:B51)</f>
        <v>3.5664059889044841</v>
      </c>
      <c r="C26" s="117"/>
      <c r="D26" s="114">
        <f t="shared" si="0"/>
        <v>21.697296770485945</v>
      </c>
      <c r="E26" s="122"/>
      <c r="F26" s="114">
        <f t="shared" si="1"/>
        <v>0.49810139509839174</v>
      </c>
    </row>
    <row r="27" spans="1:8" x14ac:dyDescent="0.25">
      <c r="A27" s="118" t="s">
        <v>719</v>
      </c>
      <c r="B27" s="116">
        <f>SUM('POLLINATOR PLANTING'!B52:B53)</f>
        <v>0</v>
      </c>
      <c r="C27" s="117"/>
      <c r="D27" s="114">
        <f t="shared" ref="D27" si="3">B27/beepasture</f>
        <v>0</v>
      </c>
      <c r="E27" s="122"/>
      <c r="F27" s="114">
        <f t="shared" ref="F27" si="4">B27/((beepasture*43560)/1000)</f>
        <v>0</v>
      </c>
    </row>
    <row r="28" spans="1:8" x14ac:dyDescent="0.25">
      <c r="A28" s="118" t="s">
        <v>9</v>
      </c>
      <c r="B28" s="116"/>
      <c r="C28" s="117"/>
      <c r="D28" s="114"/>
      <c r="E28" s="115"/>
      <c r="F28" s="114"/>
    </row>
    <row r="29" spans="1:8" x14ac:dyDescent="0.25">
      <c r="A29" s="142" t="s">
        <v>352</v>
      </c>
      <c r="B29" s="116"/>
      <c r="C29" s="117"/>
      <c r="D29" s="114"/>
      <c r="E29" s="115"/>
      <c r="F29" s="114"/>
      <c r="H29" s="124" t="s">
        <v>159</v>
      </c>
    </row>
    <row r="30" spans="1:8" x14ac:dyDescent="0.25">
      <c r="A30" s="119" t="s">
        <v>434</v>
      </c>
      <c r="B30" s="120">
        <f>SUM('POLLINATOR PLANTING'!B55:B57)</f>
        <v>12.3</v>
      </c>
      <c r="C30" s="121"/>
      <c r="D30" s="114">
        <f t="shared" ref="D30:D35" si="5">B30/beepasture</f>
        <v>74.830726256983269</v>
      </c>
      <c r="E30" s="122"/>
      <c r="F30" s="114">
        <f t="shared" ref="F30:F35" si="6">B30/((beepasture*43560)/1000)</f>
        <v>1.7178770949720674</v>
      </c>
      <c r="G30" s="120"/>
      <c r="H30" s="143">
        <f>SUM('POLLINATOR PLANTING'!H55:H57)</f>
        <v>41</v>
      </c>
    </row>
    <row r="31" spans="1:8" x14ac:dyDescent="0.25">
      <c r="A31" s="119" t="s">
        <v>353</v>
      </c>
      <c r="B31" s="120">
        <f>SUM('POLLINATOR PLANTING'!B58:B59)</f>
        <v>1.446464646464646</v>
      </c>
      <c r="C31" s="121"/>
      <c r="D31" s="114">
        <f t="shared" si="5"/>
        <v>8.7999999999999989</v>
      </c>
      <c r="E31" s="115"/>
      <c r="F31" s="114">
        <f t="shared" si="6"/>
        <v>0.20202020202020199</v>
      </c>
      <c r="H31" s="143">
        <f>SUM('POLLINATOR PLANTING'!H58:H59)</f>
        <v>0.96430976430976401</v>
      </c>
    </row>
    <row r="32" spans="1:8" x14ac:dyDescent="0.25">
      <c r="A32" s="119" t="s">
        <v>379</v>
      </c>
      <c r="B32" s="120">
        <f>SUM('POLLINATOR PLANTING'!B60:B61)</f>
        <v>1.5</v>
      </c>
      <c r="C32" s="121"/>
      <c r="D32" s="114">
        <f t="shared" si="5"/>
        <v>9.1256983240223484</v>
      </c>
      <c r="E32" s="115"/>
      <c r="F32" s="114">
        <f t="shared" si="6"/>
        <v>0.20949720670391067</v>
      </c>
      <c r="H32" s="143">
        <f>SUM('POLLINATOR PLANTING'!H60:H61)</f>
        <v>1</v>
      </c>
    </row>
    <row r="33" spans="1:8" x14ac:dyDescent="0.25">
      <c r="A33" s="119" t="s">
        <v>355</v>
      </c>
      <c r="B33" s="120">
        <f>SUM('POLLINATOR PLANTING'!B62)</f>
        <v>0</v>
      </c>
      <c r="C33" s="121"/>
      <c r="D33" s="123">
        <f>B33/beepasture</f>
        <v>0</v>
      </c>
      <c r="E33" s="115"/>
      <c r="F33" s="123">
        <f t="shared" si="6"/>
        <v>0</v>
      </c>
      <c r="H33" s="143">
        <f>SUM('POLLINATOR PLANTING'!H62)</f>
        <v>4.5</v>
      </c>
    </row>
    <row r="34" spans="1:8" x14ac:dyDescent="0.25">
      <c r="A34" s="119" t="s">
        <v>354</v>
      </c>
      <c r="B34" s="120">
        <f>SUM('POLLINATOR PLANTING'!B64:B83)</f>
        <v>11.041666666666639</v>
      </c>
      <c r="C34" s="121"/>
      <c r="D34" s="114">
        <f t="shared" si="5"/>
        <v>67.175279329608784</v>
      </c>
      <c r="E34" s="122"/>
      <c r="F34" s="114">
        <f t="shared" si="6"/>
        <v>1.542132216014894</v>
      </c>
      <c r="H34" s="143">
        <f>SUM('POLLINATOR PLANTING'!H64:H83)</f>
        <v>7.3611111111110938</v>
      </c>
    </row>
    <row r="35" spans="1:8" x14ac:dyDescent="0.25">
      <c r="A35" s="142" t="s">
        <v>356</v>
      </c>
      <c r="B35" s="120">
        <f>SUM('POLLINATOR PLANTING'!B85:B99)</f>
        <v>0</v>
      </c>
      <c r="C35" s="121"/>
      <c r="D35" s="123">
        <f t="shared" si="5"/>
        <v>0</v>
      </c>
      <c r="E35" s="122"/>
      <c r="F35" s="123">
        <f t="shared" si="6"/>
        <v>0</v>
      </c>
      <c r="H35" s="143">
        <f>SUM('POLLINATOR PLANTING'!H85:H99)</f>
        <v>0</v>
      </c>
    </row>
    <row r="36" spans="1:8" x14ac:dyDescent="0.25">
      <c r="A36" s="142" t="s">
        <v>357</v>
      </c>
      <c r="B36" s="120"/>
      <c r="C36" s="121"/>
      <c r="D36" s="123"/>
      <c r="E36" s="122"/>
      <c r="F36" s="123"/>
      <c r="H36" s="143"/>
    </row>
    <row r="37" spans="1:8" x14ac:dyDescent="0.25">
      <c r="A37" s="119" t="s">
        <v>358</v>
      </c>
      <c r="B37" s="120">
        <f>SUM('POLLINATOR PLANTING'!B101)</f>
        <v>0</v>
      </c>
      <c r="C37" s="121"/>
      <c r="D37" s="123">
        <f t="shared" ref="D37:D52" si="7">B37/beepasture</f>
        <v>0</v>
      </c>
      <c r="E37" s="122"/>
      <c r="F37" s="123">
        <f t="shared" ref="F37:F52" si="8">B37/((beepasture*43560)/1000)</f>
        <v>0</v>
      </c>
      <c r="H37" s="143">
        <f>SUM('POLLINATOR PLANTING'!H101)</f>
        <v>0</v>
      </c>
    </row>
    <row r="38" spans="1:8" x14ac:dyDescent="0.25">
      <c r="A38" s="119" t="s">
        <v>475</v>
      </c>
      <c r="B38" s="120">
        <f>SUM('POLLINATOR PLANTING'!B102)</f>
        <v>14.793333333333331</v>
      </c>
      <c r="C38" s="121"/>
      <c r="D38" s="114">
        <f t="shared" ref="D38:D39" si="9">B38/beepasture</f>
        <v>89.99966480446929</v>
      </c>
      <c r="E38" s="122"/>
      <c r="F38" s="114">
        <f t="shared" si="8"/>
        <v>2.0661080074487899</v>
      </c>
      <c r="H38" s="143">
        <f>SUM('POLLINATOR PLANTING'!H102)</f>
        <v>9.8622222222222202</v>
      </c>
    </row>
    <row r="39" spans="1:8" x14ac:dyDescent="0.25">
      <c r="A39" s="119" t="s">
        <v>476</v>
      </c>
      <c r="B39" s="120">
        <f>SUM('POLLINATOR PLANTING'!B103:B108)</f>
        <v>0.25925925925925841</v>
      </c>
      <c r="C39" s="121"/>
      <c r="D39" s="114">
        <f t="shared" si="9"/>
        <v>1.5772811918063268</v>
      </c>
      <c r="E39" s="122"/>
      <c r="F39" s="114">
        <f t="shared" si="8"/>
        <v>3.6209393751293083E-2</v>
      </c>
      <c r="H39" s="143">
        <f>SUM('POLLINATOR PLANTING'!H103:H108)</f>
        <v>0.17283950617283894</v>
      </c>
    </row>
    <row r="40" spans="1:8" x14ac:dyDescent="0.25">
      <c r="A40" s="119" t="s">
        <v>473</v>
      </c>
      <c r="B40" s="120">
        <f>SUM('POLLINATOR PLANTING'!B109:B110)</f>
        <v>0</v>
      </c>
      <c r="C40" s="121"/>
      <c r="D40" s="123">
        <f t="shared" si="7"/>
        <v>0</v>
      </c>
      <c r="E40" s="122"/>
      <c r="F40" s="123">
        <f t="shared" si="8"/>
        <v>0</v>
      </c>
      <c r="H40" s="143">
        <f>SUM('POLLINATOR PLANTING'!H109:H110)</f>
        <v>0</v>
      </c>
    </row>
    <row r="41" spans="1:8" x14ac:dyDescent="0.25">
      <c r="A41" s="119" t="s">
        <v>359</v>
      </c>
      <c r="B41" s="120">
        <f>SUM('POLLINATOR PLANTING'!B111:B112)</f>
        <v>0</v>
      </c>
      <c r="C41" s="121"/>
      <c r="D41" s="123">
        <f t="shared" si="7"/>
        <v>0</v>
      </c>
      <c r="E41" s="122"/>
      <c r="F41" s="123">
        <f t="shared" si="8"/>
        <v>0</v>
      </c>
      <c r="H41" s="143">
        <f>SUM('POLLINATOR PLANTING'!H111:H112)</f>
        <v>0</v>
      </c>
    </row>
    <row r="42" spans="1:8" x14ac:dyDescent="0.25">
      <c r="A42" s="119" t="s">
        <v>474</v>
      </c>
      <c r="B42" s="120">
        <f>SUM('POLLINATOR PLANTING'!B113:B114)</f>
        <v>0</v>
      </c>
      <c r="C42" s="121"/>
      <c r="D42" s="123">
        <f t="shared" si="7"/>
        <v>0</v>
      </c>
      <c r="E42" s="122"/>
      <c r="F42" s="123">
        <f t="shared" si="8"/>
        <v>0</v>
      </c>
      <c r="H42" s="143">
        <f>SUM('POLLINATOR PLANTING'!H113:H114)</f>
        <v>0</v>
      </c>
    </row>
    <row r="43" spans="1:8" x14ac:dyDescent="0.25">
      <c r="A43" s="119" t="s">
        <v>360</v>
      </c>
      <c r="B43" s="120">
        <f>SUM('POLLINATOR PLANTING'!B115:B117)</f>
        <v>5.966666666666665</v>
      </c>
      <c r="C43" s="121"/>
      <c r="D43" s="114">
        <f t="shared" si="7"/>
        <v>36.299999999999997</v>
      </c>
      <c r="E43" s="122"/>
      <c r="F43" s="114">
        <f t="shared" si="8"/>
        <v>0.83333333333333326</v>
      </c>
      <c r="H43" s="143">
        <f>SUM('POLLINATOR PLANTING'!H115:H117)</f>
        <v>3.9777777777777765</v>
      </c>
    </row>
    <row r="44" spans="1:8" x14ac:dyDescent="0.25">
      <c r="A44" s="119" t="s">
        <v>451</v>
      </c>
      <c r="B44" s="120">
        <f>SUM('POLLINATOR PLANTING'!B118)</f>
        <v>11.824999999999996</v>
      </c>
      <c r="C44" s="121"/>
      <c r="D44" s="114">
        <f t="shared" si="7"/>
        <v>71.940921787709485</v>
      </c>
      <c r="E44" s="122"/>
      <c r="F44" s="114">
        <f t="shared" si="8"/>
        <v>1.6515363128491618</v>
      </c>
      <c r="H44" s="143">
        <f>SUM('POLLINATOR PLANTING'!H118)</f>
        <v>7.8833333333333302</v>
      </c>
    </row>
    <row r="45" spans="1:8" x14ac:dyDescent="0.25">
      <c r="A45" s="119" t="s">
        <v>361</v>
      </c>
      <c r="B45" s="120">
        <f>SUM('POLLINATOR PLANTING'!B119:B126)</f>
        <v>5.5129629629629617</v>
      </c>
      <c r="C45" s="121"/>
      <c r="D45" s="114">
        <f t="shared" si="7"/>
        <v>33.539757914338921</v>
      </c>
      <c r="E45" s="122"/>
      <c r="F45" s="114">
        <f t="shared" si="8"/>
        <v>0.76996689426857023</v>
      </c>
      <c r="H45" s="143">
        <f>SUM('POLLINATOR PLANTING'!H119:H126)</f>
        <v>3.307777777777777</v>
      </c>
    </row>
    <row r="46" spans="1:8" x14ac:dyDescent="0.25">
      <c r="A46" s="119" t="s">
        <v>362</v>
      </c>
      <c r="B46" s="120">
        <f>SUM('POLLINATOR PLANTING'!B127:B130)</f>
        <v>1.7669753086419744</v>
      </c>
      <c r="C46" s="121"/>
      <c r="D46" s="114">
        <f t="shared" si="7"/>
        <v>10.749922408441959</v>
      </c>
      <c r="E46" s="122"/>
      <c r="F46" s="114">
        <f t="shared" si="8"/>
        <v>0.24678426098351602</v>
      </c>
      <c r="H46" s="143">
        <f>SUM('POLLINATOR PLANTING'!H127:H130)</f>
        <v>1.0601851851851847</v>
      </c>
    </row>
    <row r="47" spans="1:8" x14ac:dyDescent="0.25">
      <c r="A47" s="119" t="s">
        <v>363</v>
      </c>
      <c r="B47" s="120">
        <f>SUM('POLLINATOR PLANTING'!B131)</f>
        <v>0</v>
      </c>
      <c r="C47" s="121"/>
      <c r="D47" s="123">
        <f t="shared" si="7"/>
        <v>0</v>
      </c>
      <c r="E47" s="122"/>
      <c r="F47" s="123">
        <f t="shared" si="8"/>
        <v>0</v>
      </c>
      <c r="H47" s="143">
        <f>SUM('POLLINATOR PLANTING'!H131)</f>
        <v>0</v>
      </c>
    </row>
    <row r="48" spans="1:8" x14ac:dyDescent="0.25">
      <c r="A48" s="119" t="s">
        <v>724</v>
      </c>
      <c r="B48" s="120">
        <f>SUM('POLLINATOR PLANTING'!B132)</f>
        <v>0</v>
      </c>
      <c r="C48" s="121"/>
      <c r="D48" s="123">
        <f t="shared" ref="D48" si="10">B48/beepasture</f>
        <v>0</v>
      </c>
      <c r="E48" s="122"/>
      <c r="F48" s="123">
        <f t="shared" ref="F48" si="11">B48/((beepasture*43560)/1000)</f>
        <v>0</v>
      </c>
      <c r="H48" s="143">
        <f>SUM('POLLINATOR PLANTING'!H132)</f>
        <v>0</v>
      </c>
    </row>
    <row r="49" spans="1:10" x14ac:dyDescent="0.25">
      <c r="A49" s="119" t="s">
        <v>364</v>
      </c>
      <c r="B49" s="120">
        <f>SUM('POLLINATOR PLANTING'!B133:B136)</f>
        <v>0.23454545454545445</v>
      </c>
      <c r="C49" s="121"/>
      <c r="D49" s="114">
        <f t="shared" si="7"/>
        <v>1.4269273743016757</v>
      </c>
      <c r="E49" s="122"/>
      <c r="F49" s="114">
        <f t="shared" si="8"/>
        <v>3.2757745048247834E-2</v>
      </c>
      <c r="H49" s="143">
        <f>SUM('POLLINATOR PLANTING'!H133:H136)</f>
        <v>0.15636363636363632</v>
      </c>
    </row>
    <row r="50" spans="1:10" x14ac:dyDescent="0.25">
      <c r="A50" s="119" t="s">
        <v>365</v>
      </c>
      <c r="B50" s="120">
        <f>SUM('POLLINATOR PLANTING'!B137)</f>
        <v>0</v>
      </c>
      <c r="C50" s="121"/>
      <c r="D50" s="123">
        <f t="shared" si="7"/>
        <v>0</v>
      </c>
      <c r="E50" s="122"/>
      <c r="F50" s="123">
        <f t="shared" si="8"/>
        <v>0</v>
      </c>
      <c r="H50" s="143">
        <f>SUM('POLLINATOR PLANTING'!H137)</f>
        <v>0</v>
      </c>
    </row>
    <row r="51" spans="1:10" x14ac:dyDescent="0.25">
      <c r="A51" s="119" t="s">
        <v>477</v>
      </c>
      <c r="B51" s="120">
        <f>SUM('POLLINATOR PLANTING'!B138)</f>
        <v>1.037037037037037</v>
      </c>
      <c r="C51" s="121"/>
      <c r="D51" s="114">
        <f t="shared" ref="D51" si="12">B51/beepasture</f>
        <v>6.3091247672253274</v>
      </c>
      <c r="E51" s="122"/>
      <c r="F51" s="114">
        <f t="shared" si="8"/>
        <v>0.1448375750051728</v>
      </c>
      <c r="H51" s="143">
        <f>SUM('POLLINATOR PLANTING'!H138)</f>
        <v>0.62222222222222212</v>
      </c>
    </row>
    <row r="52" spans="1:10" x14ac:dyDescent="0.25">
      <c r="A52" s="119" t="s">
        <v>208</v>
      </c>
      <c r="B52" s="120">
        <f>SUM('POLLINATOR PLANTING'!B139)</f>
        <v>0</v>
      </c>
      <c r="C52" s="121"/>
      <c r="D52" s="123">
        <f t="shared" si="7"/>
        <v>0</v>
      </c>
      <c r="E52" s="122"/>
      <c r="F52" s="123">
        <f t="shared" si="8"/>
        <v>0</v>
      </c>
      <c r="H52" s="143">
        <f>SUM('POLLINATOR PLANTING'!H139)</f>
        <v>0</v>
      </c>
    </row>
    <row r="53" spans="1:10" x14ac:dyDescent="0.25">
      <c r="A53" s="142" t="s">
        <v>366</v>
      </c>
      <c r="B53" s="120"/>
      <c r="C53" s="121"/>
      <c r="D53" s="123"/>
      <c r="E53" s="122"/>
      <c r="F53" s="123"/>
      <c r="H53" s="125"/>
    </row>
    <row r="54" spans="1:10" x14ac:dyDescent="0.25">
      <c r="A54" s="119" t="s">
        <v>367</v>
      </c>
      <c r="B54" s="120">
        <f>SUM('POLLINATOR PLANTING'!B141)</f>
        <v>0</v>
      </c>
      <c r="C54" s="121"/>
      <c r="D54" s="123">
        <f t="shared" ref="D54:D63" si="13">B54/beepasture</f>
        <v>0</v>
      </c>
      <c r="E54" s="122"/>
      <c r="F54" s="123">
        <f t="shared" ref="F54:F63" si="14">B54/((beepasture*43560)/1000)</f>
        <v>0</v>
      </c>
      <c r="H54" s="125">
        <f>SUM('POLLINATOR PLANTING'!H141)</f>
        <v>0</v>
      </c>
    </row>
    <row r="55" spans="1:10" x14ac:dyDescent="0.25">
      <c r="A55" s="119" t="s">
        <v>481</v>
      </c>
      <c r="B55" s="120">
        <f>SUM('POLLINATOR PLANTING'!B142)</f>
        <v>44.749999999999986</v>
      </c>
      <c r="C55" s="121"/>
      <c r="D55" s="123">
        <f t="shared" ref="D55" si="15">B55/beepasture</f>
        <v>272.25</v>
      </c>
      <c r="E55" s="122"/>
      <c r="F55" s="123">
        <f t="shared" ref="F55" si="16">B55/((beepasture*43560)/1000)</f>
        <v>6.2499999999999991</v>
      </c>
      <c r="H55" s="125">
        <f>SUM('POLLINATOR PLANTING'!H142)</f>
        <v>2.9833333333333325</v>
      </c>
    </row>
    <row r="56" spans="1:10" x14ac:dyDescent="0.25">
      <c r="A56" s="119" t="s">
        <v>368</v>
      </c>
      <c r="B56" s="120">
        <f>SUM('POLLINATOR PLANTING'!B143:B143)</f>
        <v>0</v>
      </c>
      <c r="C56" s="121"/>
      <c r="D56" s="123">
        <f t="shared" si="13"/>
        <v>0</v>
      </c>
      <c r="E56" s="122"/>
      <c r="F56" s="123">
        <f t="shared" si="14"/>
        <v>0</v>
      </c>
      <c r="H56" s="125">
        <f>SUM('POLLINATOR PLANTING'!H143:H143)</f>
        <v>0</v>
      </c>
    </row>
    <row r="57" spans="1:10" x14ac:dyDescent="0.25">
      <c r="A57" s="119" t="s">
        <v>533</v>
      </c>
      <c r="B57" s="120">
        <f>SUM('POLLINATOR PLANTING'!B146:B150)</f>
        <v>2.2083333333333326</v>
      </c>
      <c r="C57" s="121"/>
      <c r="D57" s="114">
        <f t="shared" ref="D57" si="17">B57/beepasture</f>
        <v>13.435055865921786</v>
      </c>
      <c r="E57" s="122"/>
      <c r="F57" s="114">
        <f t="shared" ref="F57" si="18">B57/((beepasture*43560)/1000)</f>
        <v>0.30842644320297946</v>
      </c>
      <c r="H57" s="125">
        <f>SUM('POLLINATOR PLANTING'!H146:H150)</f>
        <v>1.4722222222222217</v>
      </c>
      <c r="I57" s="124"/>
      <c r="J57" s="124"/>
    </row>
    <row r="58" spans="1:10" x14ac:dyDescent="0.25">
      <c r="A58" s="119" t="s">
        <v>534</v>
      </c>
      <c r="B58" s="120">
        <f>SUM('POLLINATOR PLANTING'!B151:B159)</f>
        <v>0.89583333333333304</v>
      </c>
      <c r="C58" s="121"/>
      <c r="D58" s="114">
        <f t="shared" ref="D58" si="19">B58/beepasture</f>
        <v>5.4500698324022343</v>
      </c>
      <c r="E58" s="122"/>
      <c r="F58" s="114">
        <f t="shared" ref="F58" si="20">B58/((beepasture*43560)/1000)</f>
        <v>0.12511638733705771</v>
      </c>
      <c r="H58" s="125">
        <f>SUM('POLLINATOR PLANTING'!H151:H159)</f>
        <v>0.59722222222222199</v>
      </c>
      <c r="I58" s="124"/>
      <c r="J58" s="124"/>
    </row>
    <row r="59" spans="1:10" x14ac:dyDescent="0.25">
      <c r="A59" s="119" t="s">
        <v>535</v>
      </c>
      <c r="B59" s="120">
        <f>SUM('POLLINATOR PLANTING'!B160:B164)</f>
        <v>2.4861111111111098</v>
      </c>
      <c r="C59" s="121"/>
      <c r="D59" s="114">
        <f t="shared" ref="D59" si="21">B59/beepasture</f>
        <v>15.124999999999996</v>
      </c>
      <c r="E59" s="122"/>
      <c r="F59" s="114">
        <f t="shared" ref="F59" si="22">B59/((beepasture*43560)/1000)</f>
        <v>0.3472222222222221</v>
      </c>
      <c r="H59" s="125">
        <f>SUM('POLLINATOR PLANTING'!H160:H164)</f>
        <v>1.6574074074074068</v>
      </c>
      <c r="I59" s="124" t="s">
        <v>725</v>
      </c>
      <c r="J59" s="124" t="s">
        <v>725</v>
      </c>
    </row>
    <row r="60" spans="1:10" x14ac:dyDescent="0.25">
      <c r="A60" s="119" t="s">
        <v>11</v>
      </c>
      <c r="B60" s="120">
        <f>SUM('POLLINATOR PLANTING'!B144)</f>
        <v>0</v>
      </c>
      <c r="C60" s="121"/>
      <c r="D60" s="123">
        <f t="shared" si="13"/>
        <v>0</v>
      </c>
      <c r="E60" s="122"/>
      <c r="F60" s="123">
        <f t="shared" si="14"/>
        <v>0</v>
      </c>
      <c r="H60" s="125">
        <f>SUM('POLLINATOR PLANTING'!H144)</f>
        <v>0</v>
      </c>
      <c r="I60" s="124" t="s">
        <v>198</v>
      </c>
      <c r="J60" s="124" t="s">
        <v>10</v>
      </c>
    </row>
    <row r="61" spans="1:10" x14ac:dyDescent="0.25">
      <c r="A61" s="119" t="s">
        <v>208</v>
      </c>
      <c r="B61" s="120">
        <f>SUM('POLLINATOR PLANTING'!B145)</f>
        <v>0</v>
      </c>
      <c r="C61" s="121"/>
      <c r="D61" s="123">
        <f t="shared" si="13"/>
        <v>0</v>
      </c>
      <c r="E61" s="115"/>
      <c r="F61" s="123">
        <f t="shared" si="14"/>
        <v>0</v>
      </c>
      <c r="H61" s="125">
        <f>SUM('POLLINATOR PLANTING'!H145)</f>
        <v>0</v>
      </c>
      <c r="I61" s="126">
        <f>SUM(H30:H61)</f>
        <v>88.578327721661026</v>
      </c>
      <c r="J61" s="127">
        <f>SUM(B30:B61)</f>
        <v>118.02418911335573</v>
      </c>
    </row>
    <row r="62" spans="1:10" x14ac:dyDescent="0.25">
      <c r="A62" s="118" t="s">
        <v>207</v>
      </c>
      <c r="B62" s="116">
        <f>SUM('POLLINATOR PLANTING'!B166:B168)</f>
        <v>0</v>
      </c>
      <c r="C62" s="117"/>
      <c r="D62" s="123">
        <f t="shared" si="13"/>
        <v>0</v>
      </c>
      <c r="E62" s="122"/>
      <c r="F62" s="123">
        <f t="shared" si="14"/>
        <v>0</v>
      </c>
      <c r="H62" s="125"/>
      <c r="I62" s="126"/>
      <c r="J62" s="127"/>
    </row>
    <row r="63" spans="1:10" x14ac:dyDescent="0.25">
      <c r="A63" s="118" t="s">
        <v>206</v>
      </c>
      <c r="B63" s="116">
        <f>SUM('POLLINATOR PLANTING'!B170:B174)</f>
        <v>0</v>
      </c>
      <c r="C63" s="117"/>
      <c r="D63" s="123">
        <f t="shared" si="13"/>
        <v>0</v>
      </c>
      <c r="E63" s="122"/>
      <c r="F63" s="123">
        <f t="shared" si="14"/>
        <v>0</v>
      </c>
      <c r="H63" s="125"/>
      <c r="I63" s="126"/>
      <c r="J63" s="127"/>
    </row>
    <row r="64" spans="1:10" x14ac:dyDescent="0.25">
      <c r="A64" s="118" t="s">
        <v>205</v>
      </c>
      <c r="B64" s="116"/>
      <c r="C64" s="117"/>
      <c r="D64" s="114"/>
      <c r="E64" s="115"/>
      <c r="F64" s="114"/>
    </row>
    <row r="65" spans="1:8" x14ac:dyDescent="0.25">
      <c r="A65" s="142" t="s">
        <v>352</v>
      </c>
      <c r="B65" s="116"/>
      <c r="C65" s="117"/>
      <c r="D65" s="114"/>
      <c r="E65" s="115"/>
      <c r="F65" s="114"/>
      <c r="H65" s="124" t="s">
        <v>158</v>
      </c>
    </row>
    <row r="66" spans="1:8" x14ac:dyDescent="0.25">
      <c r="A66" s="119" t="s">
        <v>434</v>
      </c>
      <c r="B66" s="120">
        <f>SUM('POLLINATOR PLANTING'!B176:B178)</f>
        <v>0</v>
      </c>
      <c r="C66" s="121"/>
      <c r="D66" s="123">
        <f t="shared" ref="D66:D71" si="23">B66/beepasture</f>
        <v>0</v>
      </c>
      <c r="E66" s="122"/>
      <c r="F66" s="123">
        <f t="shared" ref="F66:F71" si="24">B66/((beepasture*43560)/1000)</f>
        <v>0</v>
      </c>
      <c r="H66" s="143">
        <f>SUM('POLLINATOR PLANTING'!H176:H178)</f>
        <v>0</v>
      </c>
    </row>
    <row r="67" spans="1:8" x14ac:dyDescent="0.25">
      <c r="A67" s="119" t="s">
        <v>353</v>
      </c>
      <c r="B67" s="120">
        <f>SUM('POLLINATOR PLANTING'!B179:B180)</f>
        <v>0</v>
      </c>
      <c r="C67" s="121"/>
      <c r="D67" s="123">
        <f t="shared" si="23"/>
        <v>0</v>
      </c>
      <c r="E67" s="115"/>
      <c r="F67" s="123">
        <f t="shared" si="24"/>
        <v>0</v>
      </c>
      <c r="H67" s="143">
        <f>SUM('POLLINATOR PLANTING'!H179:H180)</f>
        <v>0</v>
      </c>
    </row>
    <row r="68" spans="1:8" x14ac:dyDescent="0.25">
      <c r="A68" s="119" t="s">
        <v>379</v>
      </c>
      <c r="B68" s="120">
        <f>SUM('POLLINATOR PLANTING'!B181:B182)</f>
        <v>0</v>
      </c>
      <c r="C68" s="121"/>
      <c r="D68" s="123">
        <f t="shared" si="23"/>
        <v>0</v>
      </c>
      <c r="E68" s="115"/>
      <c r="F68" s="123">
        <f t="shared" si="24"/>
        <v>0</v>
      </c>
      <c r="H68" s="143">
        <f>SUM('POLLINATOR PLANTING'!H181:H182)</f>
        <v>0</v>
      </c>
    </row>
    <row r="69" spans="1:8" x14ac:dyDescent="0.25">
      <c r="A69" s="119" t="s">
        <v>355</v>
      </c>
      <c r="B69" s="120">
        <f>SUM('POLLINATOR PLANTING'!B183)</f>
        <v>0</v>
      </c>
      <c r="C69" s="121"/>
      <c r="D69" s="123">
        <f t="shared" si="23"/>
        <v>0</v>
      </c>
      <c r="E69" s="122"/>
      <c r="F69" s="123">
        <f t="shared" si="24"/>
        <v>0</v>
      </c>
      <c r="H69" s="143">
        <f>SUM('POLLINATOR PLANTING'!H183)</f>
        <v>0</v>
      </c>
    </row>
    <row r="70" spans="1:8" x14ac:dyDescent="0.25">
      <c r="A70" s="119" t="s">
        <v>354</v>
      </c>
      <c r="B70" s="121">
        <f>SUM('POLLINATOR PLANTING'!B185:B204)</f>
        <v>5.752984389348019E-2</v>
      </c>
      <c r="C70" s="121"/>
      <c r="D70" s="114">
        <f t="shared" si="23"/>
        <v>0.3499999999999997</v>
      </c>
      <c r="E70" s="122"/>
      <c r="F70" s="114">
        <f t="shared" si="24"/>
        <v>8.0348943985307543E-3</v>
      </c>
      <c r="H70" s="292">
        <f>SUM('POLLINATOR PLANTING'!H185:H204)</f>
        <v>0.16437098255280053</v>
      </c>
    </row>
    <row r="71" spans="1:8" x14ac:dyDescent="0.25">
      <c r="A71" s="142" t="s">
        <v>356</v>
      </c>
      <c r="B71" s="120">
        <f>SUM('POLLINATOR PLANTING'!B206:B220)</f>
        <v>0</v>
      </c>
      <c r="C71" s="121"/>
      <c r="D71" s="123">
        <f t="shared" si="23"/>
        <v>0</v>
      </c>
      <c r="E71" s="115"/>
      <c r="F71" s="123">
        <f t="shared" si="24"/>
        <v>0</v>
      </c>
      <c r="H71" s="143">
        <f>SUM('POLLINATOR PLANTING'!H206:H220)</f>
        <v>0</v>
      </c>
    </row>
    <row r="72" spans="1:8" x14ac:dyDescent="0.25">
      <c r="A72" s="142" t="s">
        <v>357</v>
      </c>
      <c r="B72" s="120"/>
      <c r="C72" s="120"/>
      <c r="D72" s="120"/>
      <c r="E72" s="120"/>
      <c r="F72" s="120"/>
      <c r="G72" s="120"/>
      <c r="H72" s="120"/>
    </row>
    <row r="73" spans="1:8" x14ac:dyDescent="0.25">
      <c r="A73" s="119" t="s">
        <v>358</v>
      </c>
      <c r="B73" s="120">
        <f>SUM('POLLINATOR PLANTING'!B222)</f>
        <v>0</v>
      </c>
      <c r="C73" s="120"/>
      <c r="D73" s="123">
        <f t="shared" ref="D73:D88" si="25">B73/beepasture</f>
        <v>0</v>
      </c>
      <c r="E73" s="115"/>
      <c r="F73" s="123">
        <f t="shared" ref="F73:F88" si="26">B73/((beepasture*43560)/1000)</f>
        <v>0</v>
      </c>
      <c r="H73" s="143">
        <f>SUM('POLLINATOR PLANTING'!H222)</f>
        <v>0</v>
      </c>
    </row>
    <row r="74" spans="1:8" x14ac:dyDescent="0.25">
      <c r="A74" s="119" t="s">
        <v>475</v>
      </c>
      <c r="B74" s="120">
        <f>SUM('POLLINATOR PLANTING'!B223)</f>
        <v>0</v>
      </c>
      <c r="C74" s="120"/>
      <c r="D74" s="123">
        <f t="shared" ref="D74:D75" si="27">B74/beepasture</f>
        <v>0</v>
      </c>
      <c r="E74" s="115"/>
      <c r="F74" s="123">
        <f t="shared" si="26"/>
        <v>0</v>
      </c>
      <c r="H74" s="143">
        <f>SUM('POLLINATOR PLANTING'!H223)</f>
        <v>0</v>
      </c>
    </row>
    <row r="75" spans="1:8" x14ac:dyDescent="0.25">
      <c r="A75" s="119" t="s">
        <v>476</v>
      </c>
      <c r="B75" s="121">
        <f>SUM('POLLINATOR PLANTING'!B224:B229)</f>
        <v>0.48395061728394939</v>
      </c>
      <c r="C75" s="121"/>
      <c r="D75" s="114">
        <f t="shared" si="27"/>
        <v>2.9442582247051452</v>
      </c>
      <c r="E75" s="115"/>
      <c r="F75" s="114">
        <f t="shared" si="26"/>
        <v>6.7590868335747137E-2</v>
      </c>
      <c r="H75" s="292">
        <f>SUM('POLLINATOR PLANTING'!H224:H229)</f>
        <v>1.3827160493827124</v>
      </c>
    </row>
    <row r="76" spans="1:8" x14ac:dyDescent="0.25">
      <c r="A76" s="119" t="s">
        <v>473</v>
      </c>
      <c r="B76" s="120">
        <f>SUM('POLLINATOR PLANTING'!B230:B231)</f>
        <v>0</v>
      </c>
      <c r="C76" s="121"/>
      <c r="D76" s="123">
        <f t="shared" si="25"/>
        <v>0</v>
      </c>
      <c r="E76" s="115"/>
      <c r="F76" s="123">
        <f t="shared" si="26"/>
        <v>0</v>
      </c>
      <c r="H76" s="143">
        <f>SUM('POLLINATOR PLANTING'!H230:H231)</f>
        <v>0</v>
      </c>
    </row>
    <row r="77" spans="1:8" x14ac:dyDescent="0.25">
      <c r="A77" s="119" t="s">
        <v>359</v>
      </c>
      <c r="B77" s="120">
        <f>SUM('POLLINATOR PLANTING'!B232:B233)</f>
        <v>0</v>
      </c>
      <c r="C77" s="121"/>
      <c r="D77" s="123">
        <f t="shared" si="25"/>
        <v>0</v>
      </c>
      <c r="E77" s="115"/>
      <c r="F77" s="123">
        <f t="shared" si="26"/>
        <v>0</v>
      </c>
      <c r="H77" s="143">
        <f>SUM('POLLINATOR PLANTING'!H232:H233)</f>
        <v>0</v>
      </c>
    </row>
    <row r="78" spans="1:8" x14ac:dyDescent="0.25">
      <c r="A78" s="119" t="s">
        <v>474</v>
      </c>
      <c r="B78" s="120">
        <f>SUM('POLLINATOR PLANTING'!B234:B235)</f>
        <v>0</v>
      </c>
      <c r="C78" s="121"/>
      <c r="D78" s="123">
        <f t="shared" si="25"/>
        <v>0</v>
      </c>
      <c r="E78" s="115"/>
      <c r="F78" s="123">
        <f t="shared" si="26"/>
        <v>0</v>
      </c>
      <c r="H78" s="143">
        <f>SUM('POLLINATOR PLANTING'!H234:H235)</f>
        <v>0</v>
      </c>
    </row>
    <row r="79" spans="1:8" x14ac:dyDescent="0.25">
      <c r="A79" s="119" t="s">
        <v>360</v>
      </c>
      <c r="B79" s="120">
        <f>SUM('POLLINATOR PLANTING'!B236:B238)</f>
        <v>0</v>
      </c>
      <c r="C79" s="121"/>
      <c r="D79" s="123">
        <f t="shared" si="25"/>
        <v>0</v>
      </c>
      <c r="E79" s="115"/>
      <c r="F79" s="123">
        <f t="shared" si="26"/>
        <v>0</v>
      </c>
      <c r="H79" s="143">
        <f>SUM('POLLINATOR PLANTING'!H236:H238)</f>
        <v>0</v>
      </c>
    </row>
    <row r="80" spans="1:8" x14ac:dyDescent="0.25">
      <c r="A80" s="119" t="s">
        <v>451</v>
      </c>
      <c r="B80" s="120">
        <f>SUM('POLLINATOR PLANTING'!B239)</f>
        <v>0</v>
      </c>
      <c r="C80" s="121"/>
      <c r="D80" s="123">
        <f t="shared" si="25"/>
        <v>0</v>
      </c>
      <c r="E80" s="115"/>
      <c r="F80" s="123">
        <f t="shared" si="26"/>
        <v>0</v>
      </c>
      <c r="H80" s="143">
        <f>SUM('POLLINATOR PLANTING'!H239)</f>
        <v>0</v>
      </c>
    </row>
    <row r="81" spans="1:10" x14ac:dyDescent="0.25">
      <c r="A81" s="119" t="s">
        <v>361</v>
      </c>
      <c r="B81" s="120">
        <f>SUM('POLLINATOR PLANTING'!B240:B247)</f>
        <v>0</v>
      </c>
      <c r="C81" s="121"/>
      <c r="D81" s="123">
        <f t="shared" si="25"/>
        <v>0</v>
      </c>
      <c r="E81" s="122"/>
      <c r="F81" s="123">
        <f t="shared" si="26"/>
        <v>0</v>
      </c>
      <c r="H81" s="143">
        <f>SUM('POLLINATOR PLANTING'!H240:H247)</f>
        <v>0</v>
      </c>
    </row>
    <row r="82" spans="1:10" x14ac:dyDescent="0.25">
      <c r="A82" s="119" t="s">
        <v>362</v>
      </c>
      <c r="B82" s="121">
        <f>SUM('POLLINATOR PLANTING'!B248:B251)</f>
        <v>0.22488776655443315</v>
      </c>
      <c r="C82" s="121"/>
      <c r="D82" s="114">
        <f t="shared" si="25"/>
        <v>1.3681719428926131</v>
      </c>
      <c r="E82" s="115"/>
      <c r="F82" s="114">
        <f t="shared" si="26"/>
        <v>3.1408905943356595E-2</v>
      </c>
      <c r="H82" s="292">
        <f>SUM('POLLINATOR PLANTING'!H248:H251)</f>
        <v>0.57828282828282807</v>
      </c>
    </row>
    <row r="83" spans="1:10" x14ac:dyDescent="0.25">
      <c r="A83" s="119" t="s">
        <v>363</v>
      </c>
      <c r="B83" s="120">
        <f>SUM('POLLINATOR PLANTING'!B252)</f>
        <v>0</v>
      </c>
      <c r="C83" s="121"/>
      <c r="D83" s="123">
        <f t="shared" si="25"/>
        <v>0</v>
      </c>
      <c r="E83" s="115"/>
      <c r="F83" s="123">
        <f t="shared" si="26"/>
        <v>0</v>
      </c>
      <c r="H83" s="143">
        <f>SUM('POLLINATOR PLANTING'!H252)</f>
        <v>0</v>
      </c>
    </row>
    <row r="84" spans="1:10" x14ac:dyDescent="0.25">
      <c r="A84" s="119" t="s">
        <v>724</v>
      </c>
      <c r="B84" s="120">
        <f>SUM('POLLINATOR PLANTING'!B253)</f>
        <v>0</v>
      </c>
      <c r="C84" s="121"/>
      <c r="D84" s="123">
        <f t="shared" ref="D84" si="28">B84/beepasture</f>
        <v>0</v>
      </c>
      <c r="E84" s="115"/>
      <c r="F84" s="123">
        <f t="shared" ref="F84" si="29">B84/((beepasture*43560)/1000)</f>
        <v>0</v>
      </c>
      <c r="H84" s="143">
        <f>SUM('POLLINATOR PLANTING'!H253)</f>
        <v>0</v>
      </c>
    </row>
    <row r="85" spans="1:10" x14ac:dyDescent="0.25">
      <c r="A85" s="119" t="s">
        <v>364</v>
      </c>
      <c r="B85" s="120">
        <f>SUM('POLLINATOR PLANTING'!B254:B257)</f>
        <v>0</v>
      </c>
      <c r="C85" s="121"/>
      <c r="D85" s="123">
        <f t="shared" si="25"/>
        <v>0</v>
      </c>
      <c r="E85" s="122"/>
      <c r="F85" s="123">
        <f t="shared" si="26"/>
        <v>0</v>
      </c>
      <c r="H85" s="143">
        <f>SUM('POLLINATOR PLANTING'!H254:H257)</f>
        <v>0</v>
      </c>
    </row>
    <row r="86" spans="1:10" x14ac:dyDescent="0.25">
      <c r="A86" s="119" t="s">
        <v>365</v>
      </c>
      <c r="B86" s="120">
        <f>SUM('POLLINATOR PLANTING'!B258)</f>
        <v>0</v>
      </c>
      <c r="C86" s="121"/>
      <c r="D86" s="123">
        <f t="shared" si="25"/>
        <v>0</v>
      </c>
      <c r="E86" s="122"/>
      <c r="F86" s="123">
        <f t="shared" si="26"/>
        <v>0</v>
      </c>
      <c r="H86" s="143">
        <f>SUM('POLLINATOR PLANTING'!H258)</f>
        <v>0</v>
      </c>
    </row>
    <row r="87" spans="1:10" x14ac:dyDescent="0.25">
      <c r="A87" s="119" t="s">
        <v>477</v>
      </c>
      <c r="B87" s="120">
        <f>SUM('POLLINATOR PLANTING'!B259)</f>
        <v>0</v>
      </c>
      <c r="C87" s="121"/>
      <c r="D87" s="123">
        <f t="shared" ref="D87" si="30">B87/beepasture</f>
        <v>0</v>
      </c>
      <c r="E87" s="122"/>
      <c r="F87" s="123">
        <f t="shared" si="26"/>
        <v>0</v>
      </c>
      <c r="H87" s="143">
        <f>SUM('POLLINATOR PLANTING'!H259)</f>
        <v>0</v>
      </c>
    </row>
    <row r="88" spans="1:10" x14ac:dyDescent="0.25">
      <c r="A88" s="119" t="s">
        <v>208</v>
      </c>
      <c r="B88" s="120">
        <f>SUM('POLLINATOR PLANTING'!B260)</f>
        <v>0</v>
      </c>
      <c r="C88" s="121"/>
      <c r="D88" s="123">
        <f t="shared" si="25"/>
        <v>0</v>
      </c>
      <c r="E88" s="115"/>
      <c r="F88" s="123">
        <f t="shared" si="26"/>
        <v>0</v>
      </c>
      <c r="H88" s="143">
        <f>SUM('POLLINATOR PLANTING'!H260)</f>
        <v>0</v>
      </c>
    </row>
    <row r="89" spans="1:10" x14ac:dyDescent="0.25">
      <c r="A89" s="142" t="s">
        <v>366</v>
      </c>
      <c r="B89" s="120"/>
      <c r="C89" s="120"/>
      <c r="D89" s="120"/>
      <c r="E89" s="120"/>
      <c r="F89" s="120"/>
      <c r="G89" s="120"/>
      <c r="H89" s="120"/>
    </row>
    <row r="90" spans="1:10" x14ac:dyDescent="0.25">
      <c r="A90" s="119" t="s">
        <v>367</v>
      </c>
      <c r="B90" s="120">
        <f>SUM('POLLINATOR PLANTING'!B262)</f>
        <v>0</v>
      </c>
      <c r="C90" s="121"/>
      <c r="D90" s="123">
        <f t="shared" ref="D90:D100" si="31">B90/beepasture</f>
        <v>0</v>
      </c>
      <c r="E90" s="122"/>
      <c r="F90" s="123">
        <f t="shared" ref="F90:F100" si="32">B90/((beepasture*43560)/1000)</f>
        <v>0</v>
      </c>
      <c r="H90" s="143">
        <f>SUM('POLLINATOR PLANTING'!H262)</f>
        <v>0</v>
      </c>
    </row>
    <row r="91" spans="1:10" x14ac:dyDescent="0.25">
      <c r="A91" s="119" t="s">
        <v>481</v>
      </c>
      <c r="B91" s="120">
        <f>SUM('POLLINATOR PLANTING'!B263)</f>
        <v>0</v>
      </c>
      <c r="C91" s="121"/>
      <c r="D91" s="123">
        <f t="shared" ref="D91" si="33">B91/beepasture</f>
        <v>0</v>
      </c>
      <c r="E91" s="122"/>
      <c r="F91" s="123">
        <f t="shared" ref="F91" si="34">B91/((beepasture*43560)/1000)</f>
        <v>0</v>
      </c>
      <c r="H91" s="143">
        <f>SUM('POLLINATOR PLANTING'!H263)</f>
        <v>0</v>
      </c>
    </row>
    <row r="92" spans="1:10" x14ac:dyDescent="0.25">
      <c r="A92" s="119" t="s">
        <v>368</v>
      </c>
      <c r="B92" s="120">
        <f>SUM('POLLINATOR PLANTING'!B264:B264)</f>
        <v>0</v>
      </c>
      <c r="C92" s="120"/>
      <c r="D92" s="123">
        <f t="shared" si="31"/>
        <v>0</v>
      </c>
      <c r="E92" s="122"/>
      <c r="F92" s="123">
        <f t="shared" si="32"/>
        <v>0</v>
      </c>
      <c r="H92" s="143">
        <f>SUM('POLLINATOR PLANTING'!H264:H264)</f>
        <v>0</v>
      </c>
    </row>
    <row r="93" spans="1:10" x14ac:dyDescent="0.25">
      <c r="A93" s="119" t="s">
        <v>533</v>
      </c>
      <c r="B93" s="121">
        <f>SUM('POLLINATOR PLANTING'!B267:B271)</f>
        <v>5.1101928374655638E-2</v>
      </c>
      <c r="C93" s="121"/>
      <c r="D93" s="114">
        <f t="shared" ref="D93:D95" si="35">B93/beepasture</f>
        <v>0.31089385474860337</v>
      </c>
      <c r="E93" s="122"/>
      <c r="F93" s="114">
        <f t="shared" ref="F93:F95" si="36">B93/((beepasture*43560)/1000)</f>
        <v>7.1371408344491133E-3</v>
      </c>
      <c r="H93" s="292">
        <f>SUM('POLLINATOR PLANTING'!H267:H271)</f>
        <v>0.14600550964187325</v>
      </c>
    </row>
    <row r="94" spans="1:10" x14ac:dyDescent="0.25">
      <c r="A94" s="119" t="s">
        <v>534</v>
      </c>
      <c r="B94" s="121">
        <f>SUM('POLLINATOR PLANTING'!B272:B280)</f>
        <v>2.0730027548209358E-2</v>
      </c>
      <c r="C94" s="121"/>
      <c r="D94" s="114">
        <f t="shared" si="35"/>
        <v>0.12611731843575416</v>
      </c>
      <c r="E94" s="122"/>
      <c r="F94" s="276">
        <f t="shared" si="36"/>
        <v>2.8952552441633187E-3</v>
      </c>
      <c r="H94" s="292">
        <f>SUM('POLLINATOR PLANTING'!H272:H280)</f>
        <v>5.9228650137741028E-2</v>
      </c>
    </row>
    <row r="95" spans="1:10" x14ac:dyDescent="0.25">
      <c r="A95" s="119" t="s">
        <v>535</v>
      </c>
      <c r="B95" s="121">
        <f>SUM('POLLINATOR PLANTING'!B281:B285)</f>
        <v>5.7529843893480238E-2</v>
      </c>
      <c r="C95" s="121"/>
      <c r="D95" s="114">
        <f t="shared" si="35"/>
        <v>0.35</v>
      </c>
      <c r="E95" s="122"/>
      <c r="F95" s="114">
        <f t="shared" si="36"/>
        <v>8.0348943985307612E-3</v>
      </c>
      <c r="H95" s="292">
        <f>SUM('POLLINATOR PLANTING'!H281:H285)</f>
        <v>0.16437098255280069</v>
      </c>
    </row>
    <row r="96" spans="1:10" x14ac:dyDescent="0.25">
      <c r="A96" s="119" t="s">
        <v>11</v>
      </c>
      <c r="B96" s="120">
        <f>SUM('POLLINATOR PLANTING'!B265)</f>
        <v>0</v>
      </c>
      <c r="C96" s="121"/>
      <c r="D96" s="123">
        <f t="shared" si="31"/>
        <v>0</v>
      </c>
      <c r="E96" s="115"/>
      <c r="F96" s="123">
        <f t="shared" si="32"/>
        <v>0</v>
      </c>
      <c r="H96" s="143">
        <f>SUM('POLLINATOR PLANTING'!H265)</f>
        <v>0</v>
      </c>
      <c r="I96" s="124" t="s">
        <v>725</v>
      </c>
      <c r="J96" s="124" t="s">
        <v>725</v>
      </c>
    </row>
    <row r="97" spans="1:10" x14ac:dyDescent="0.25">
      <c r="A97" s="119" t="s">
        <v>208</v>
      </c>
      <c r="B97" s="120">
        <f>SUM('POLLINATOR PLANTING'!B266)</f>
        <v>0</v>
      </c>
      <c r="C97" s="121"/>
      <c r="D97" s="123">
        <f t="shared" si="31"/>
        <v>0</v>
      </c>
      <c r="E97" s="122"/>
      <c r="F97" s="123">
        <f t="shared" si="32"/>
        <v>0</v>
      </c>
      <c r="H97" s="143">
        <f>SUM('POLLINATOR PLANTING'!H266)</f>
        <v>0</v>
      </c>
      <c r="I97" s="124" t="s">
        <v>12</v>
      </c>
      <c r="J97" s="124" t="s">
        <v>13</v>
      </c>
    </row>
    <row r="98" spans="1:10" x14ac:dyDescent="0.25">
      <c r="A98" s="119" t="s">
        <v>204</v>
      </c>
      <c r="B98" s="121">
        <f>SUM('POLLINATOR PLANTING'!B286:B287)</f>
        <v>2.1696969696969695</v>
      </c>
      <c r="C98" s="121"/>
      <c r="D98" s="114">
        <f t="shared" si="31"/>
        <v>13.200000000000001</v>
      </c>
      <c r="E98" s="115"/>
      <c r="F98" s="114">
        <f t="shared" si="32"/>
        <v>0.30303030303030304</v>
      </c>
      <c r="H98" s="292">
        <f>SUM('POLLINATOR PLANTING'!H286:H287)/4</f>
        <v>0.18080808080808078</v>
      </c>
      <c r="I98" s="293">
        <f>SUM(H66:H98)</f>
        <v>2.6757830833588372</v>
      </c>
      <c r="J98" s="127">
        <f>SUM(B66:B98)</f>
        <v>3.0654269972451775</v>
      </c>
    </row>
    <row r="99" spans="1:10" x14ac:dyDescent="0.25">
      <c r="A99" s="118" t="s">
        <v>67</v>
      </c>
      <c r="B99" s="116">
        <f>SUM('POLLINATOR PLANTING'!B289:B292)</f>
        <v>0</v>
      </c>
      <c r="C99" s="117"/>
      <c r="D99" s="123">
        <f t="shared" si="31"/>
        <v>0</v>
      </c>
      <c r="E99" s="115"/>
      <c r="F99" s="123">
        <f t="shared" si="32"/>
        <v>0</v>
      </c>
      <c r="H99" s="125"/>
    </row>
    <row r="100" spans="1:10" x14ac:dyDescent="0.25">
      <c r="A100" s="118" t="s">
        <v>14</v>
      </c>
      <c r="B100" s="116">
        <f>SUM('POLLINATOR PLANTING'!B294:B295)</f>
        <v>3.0500000000000003</v>
      </c>
      <c r="C100" s="117"/>
      <c r="D100" s="114">
        <f t="shared" si="31"/>
        <v>18.555586592178777</v>
      </c>
      <c r="E100" s="115"/>
      <c r="F100" s="114">
        <f t="shared" si="32"/>
        <v>0.42597765363128504</v>
      </c>
      <c r="H100" s="125"/>
    </row>
    <row r="101" spans="1:10" x14ac:dyDescent="0.25">
      <c r="A101" s="118" t="s">
        <v>15</v>
      </c>
      <c r="B101" s="120"/>
      <c r="C101" s="121"/>
      <c r="D101" s="114"/>
      <c r="E101" s="115"/>
      <c r="F101" s="114"/>
    </row>
    <row r="102" spans="1:10" x14ac:dyDescent="0.25">
      <c r="A102" s="119" t="s">
        <v>203</v>
      </c>
      <c r="B102" s="120">
        <f>SUM('POLLINATOR PLANTING'!B297)</f>
        <v>0</v>
      </c>
      <c r="C102" s="121"/>
      <c r="D102" s="123">
        <f t="shared" ref="D102:D115" si="37">B102/beepasture</f>
        <v>0</v>
      </c>
      <c r="E102" s="122"/>
      <c r="F102" s="123">
        <f t="shared" ref="F102:F115" si="38">B102/((beepasture*43560)/1000)</f>
        <v>0</v>
      </c>
    </row>
    <row r="103" spans="1:10" x14ac:dyDescent="0.25">
      <c r="A103" s="119" t="s">
        <v>16</v>
      </c>
      <c r="B103" s="120">
        <f>SUM('POLLINATOR PLANTING'!B298)</f>
        <v>0</v>
      </c>
      <c r="C103" s="121"/>
      <c r="D103" s="123">
        <f t="shared" si="37"/>
        <v>0</v>
      </c>
      <c r="E103" s="122"/>
      <c r="F103" s="123">
        <f t="shared" si="38"/>
        <v>0</v>
      </c>
    </row>
    <row r="104" spans="1:10" x14ac:dyDescent="0.25">
      <c r="A104" s="119" t="s">
        <v>17</v>
      </c>
      <c r="B104" s="120">
        <f>SUM('POLLINATOR PLANTING'!B299)</f>
        <v>0</v>
      </c>
      <c r="C104" s="121"/>
      <c r="D104" s="123">
        <f t="shared" si="37"/>
        <v>0</v>
      </c>
      <c r="E104" s="122"/>
      <c r="F104" s="123">
        <f t="shared" si="38"/>
        <v>0</v>
      </c>
    </row>
    <row r="105" spans="1:10" x14ac:dyDescent="0.25">
      <c r="A105" s="119" t="s">
        <v>18</v>
      </c>
      <c r="B105" s="120">
        <f>SUM('POLLINATOR PLANTING'!B300)</f>
        <v>0</v>
      </c>
      <c r="C105" s="121"/>
      <c r="D105" s="123">
        <f t="shared" si="37"/>
        <v>0</v>
      </c>
      <c r="E105" s="122"/>
      <c r="F105" s="123">
        <f t="shared" si="38"/>
        <v>0</v>
      </c>
    </row>
    <row r="106" spans="1:10" x14ac:dyDescent="0.25">
      <c r="A106" s="119" t="s">
        <v>371</v>
      </c>
      <c r="B106" s="120">
        <f>SUM('POLLINATOR PLANTING'!B301)</f>
        <v>0</v>
      </c>
      <c r="C106" s="121"/>
      <c r="D106" s="123">
        <f t="shared" si="37"/>
        <v>0</v>
      </c>
      <c r="E106" s="122"/>
      <c r="F106" s="123">
        <f t="shared" si="38"/>
        <v>0</v>
      </c>
    </row>
    <row r="107" spans="1:10" x14ac:dyDescent="0.25">
      <c r="A107" s="119" t="s">
        <v>372</v>
      </c>
      <c r="B107" s="120">
        <f>SUM('POLLINATOR PLANTING'!B302)</f>
        <v>0</v>
      </c>
      <c r="C107" s="121"/>
      <c r="D107" s="123">
        <f t="shared" si="37"/>
        <v>0</v>
      </c>
      <c r="E107" s="122"/>
      <c r="F107" s="123">
        <f t="shared" si="38"/>
        <v>0</v>
      </c>
    </row>
    <row r="108" spans="1:10" x14ac:dyDescent="0.25">
      <c r="A108" s="119" t="s">
        <v>373</v>
      </c>
      <c r="B108" s="120">
        <f>SUM('POLLINATOR PLANTING'!B303)</f>
        <v>0</v>
      </c>
      <c r="C108" s="121"/>
      <c r="D108" s="123">
        <f t="shared" si="37"/>
        <v>0</v>
      </c>
      <c r="E108" s="122"/>
      <c r="F108" s="123">
        <f t="shared" si="38"/>
        <v>0</v>
      </c>
    </row>
    <row r="109" spans="1:10" x14ac:dyDescent="0.25">
      <c r="A109" s="119" t="s">
        <v>374</v>
      </c>
      <c r="B109" s="120">
        <f>SUM('POLLINATOR PLANTING'!B304)</f>
        <v>0</v>
      </c>
      <c r="C109" s="121"/>
      <c r="D109" s="123">
        <f t="shared" si="37"/>
        <v>0</v>
      </c>
      <c r="E109" s="122"/>
      <c r="F109" s="123">
        <f t="shared" si="38"/>
        <v>0</v>
      </c>
    </row>
    <row r="110" spans="1:10" x14ac:dyDescent="0.25">
      <c r="A110" s="119" t="s">
        <v>216</v>
      </c>
      <c r="B110" s="120">
        <f>SUM('POLLINATOR PLANTING'!B305)</f>
        <v>0</v>
      </c>
      <c r="C110" s="121"/>
      <c r="D110" s="123">
        <f t="shared" si="37"/>
        <v>0</v>
      </c>
      <c r="E110" s="122"/>
      <c r="F110" s="123">
        <f t="shared" si="38"/>
        <v>0</v>
      </c>
    </row>
    <row r="111" spans="1:10" x14ac:dyDescent="0.25">
      <c r="A111" s="119" t="s">
        <v>19</v>
      </c>
      <c r="B111" s="120">
        <f>SUM('POLLINATOR PLANTING'!B306)</f>
        <v>0</v>
      </c>
      <c r="C111" s="121"/>
      <c r="D111" s="123">
        <f t="shared" si="37"/>
        <v>0</v>
      </c>
      <c r="E111" s="122"/>
      <c r="F111" s="123">
        <f t="shared" si="38"/>
        <v>0</v>
      </c>
    </row>
    <row r="112" spans="1:10" x14ac:dyDescent="0.25">
      <c r="A112" s="119" t="s">
        <v>20</v>
      </c>
      <c r="B112" s="120">
        <f>SUM('POLLINATOR PLANTING'!B307)</f>
        <v>0</v>
      </c>
      <c r="C112" s="121"/>
      <c r="D112" s="123">
        <f t="shared" si="37"/>
        <v>0</v>
      </c>
      <c r="E112" s="122"/>
      <c r="F112" s="123">
        <f t="shared" si="38"/>
        <v>0</v>
      </c>
    </row>
    <row r="113" spans="1:8" x14ac:dyDescent="0.25">
      <c r="A113" s="119" t="s">
        <v>21</v>
      </c>
      <c r="B113" s="120">
        <f>SUM('POLLINATOR PLANTING'!B308)</f>
        <v>0</v>
      </c>
      <c r="C113" s="121"/>
      <c r="D113" s="123">
        <f t="shared" si="37"/>
        <v>0</v>
      </c>
      <c r="E113" s="122"/>
      <c r="F113" s="123">
        <f t="shared" si="38"/>
        <v>0</v>
      </c>
    </row>
    <row r="114" spans="1:8" x14ac:dyDescent="0.25">
      <c r="A114" s="119" t="s">
        <v>22</v>
      </c>
      <c r="B114" s="120">
        <f>SUM('POLLINATOR PLANTING'!B310:B311)</f>
        <v>0</v>
      </c>
      <c r="C114" s="121"/>
      <c r="D114" s="123">
        <f t="shared" si="37"/>
        <v>0</v>
      </c>
      <c r="E114" s="115"/>
      <c r="F114" s="123">
        <f t="shared" si="38"/>
        <v>0</v>
      </c>
    </row>
    <row r="115" spans="1:8" x14ac:dyDescent="0.25">
      <c r="A115" s="118" t="s">
        <v>23</v>
      </c>
      <c r="B115" s="120">
        <f>SUM('POLLINATOR PLANTING'!B293)</f>
        <v>0</v>
      </c>
      <c r="C115" s="121"/>
      <c r="D115" s="123">
        <f t="shared" si="37"/>
        <v>0</v>
      </c>
      <c r="E115" s="115"/>
      <c r="F115" s="123">
        <f t="shared" si="38"/>
        <v>0</v>
      </c>
    </row>
    <row r="116" spans="1:8" x14ac:dyDescent="0.25">
      <c r="A116" s="97" t="s">
        <v>24</v>
      </c>
      <c r="B116" s="128">
        <f>SUM(B15:B115)</f>
        <v>496.18439557123162</v>
      </c>
      <c r="C116" s="129"/>
      <c r="D116" s="130">
        <f>SUM(D15:D115)</f>
        <v>3018.686071380288</v>
      </c>
      <c r="E116" s="130"/>
      <c r="F116" s="130">
        <f>SUM(F15:F115)</f>
        <v>69.299496588160864</v>
      </c>
    </row>
    <row r="117" spans="1:8" x14ac:dyDescent="0.25">
      <c r="A117" s="131"/>
      <c r="B117" s="120"/>
      <c r="C117" s="121"/>
      <c r="D117" s="132"/>
      <c r="E117" s="133"/>
      <c r="F117" s="133"/>
    </row>
    <row r="118" spans="1:8" x14ac:dyDescent="0.25">
      <c r="A118" s="97" t="s">
        <v>25</v>
      </c>
      <c r="B118" s="128">
        <f>SUM('POLLINATOR PLANTING'!B315:B321)</f>
        <v>0</v>
      </c>
      <c r="C118" s="129"/>
      <c r="D118" s="179">
        <f>B118/beepasture</f>
        <v>0</v>
      </c>
      <c r="E118" s="130"/>
      <c r="F118" s="179">
        <f>B118/((beepasture*43560)/1000)</f>
        <v>0</v>
      </c>
    </row>
    <row r="119" spans="1:8" x14ac:dyDescent="0.25">
      <c r="A119" s="131"/>
      <c r="B119" s="120"/>
      <c r="C119" s="121"/>
      <c r="D119" s="132"/>
      <c r="E119" s="133"/>
      <c r="F119" s="133"/>
    </row>
    <row r="120" spans="1:8" x14ac:dyDescent="0.25">
      <c r="A120" s="97" t="s">
        <v>26</v>
      </c>
      <c r="B120" s="120"/>
      <c r="C120" s="121"/>
      <c r="D120" s="132"/>
      <c r="E120" s="133"/>
      <c r="F120" s="133"/>
    </row>
    <row r="121" spans="1:8" x14ac:dyDescent="0.25">
      <c r="A121" s="118" t="s">
        <v>27</v>
      </c>
      <c r="B121" s="120"/>
      <c r="C121" s="121"/>
      <c r="D121" s="114"/>
      <c r="E121" s="133"/>
      <c r="F121" s="114"/>
    </row>
    <row r="122" spans="1:8" x14ac:dyDescent="0.25">
      <c r="A122" s="119" t="s">
        <v>28</v>
      </c>
      <c r="B122" s="120">
        <f>SUM('POLLINATOR PLANTING'!B328:B334)</f>
        <v>4.166666666666667</v>
      </c>
      <c r="C122" s="121"/>
      <c r="D122" s="114">
        <f t="shared" ref="D122:D129" si="39">B122/beepasture</f>
        <v>25.349162011173192</v>
      </c>
      <c r="E122" s="122"/>
      <c r="F122" s="114">
        <f t="shared" ref="F122:F129" si="40">B122/((beepasture*43560)/1000)</f>
        <v>0.58193668528864073</v>
      </c>
    </row>
    <row r="123" spans="1:8" x14ac:dyDescent="0.25">
      <c r="A123" s="119" t="s">
        <v>375</v>
      </c>
      <c r="B123" s="120">
        <f>SUM('POLLINATOR PLANTING'!B335:B375)</f>
        <v>154.60488888888884</v>
      </c>
      <c r="C123" s="121"/>
      <c r="D123" s="114">
        <f t="shared" si="39"/>
        <v>940.58505027932949</v>
      </c>
      <c r="E123" s="122"/>
      <c r="F123" s="114">
        <f t="shared" si="40"/>
        <v>21.592861576660457</v>
      </c>
    </row>
    <row r="124" spans="1:8" x14ac:dyDescent="0.25">
      <c r="A124" s="119" t="s">
        <v>29</v>
      </c>
      <c r="B124" s="120">
        <f>SUM('POLLINATOR PLANTING'!B376:B379)</f>
        <v>2</v>
      </c>
      <c r="C124" s="121"/>
      <c r="D124" s="114">
        <f t="shared" si="39"/>
        <v>12.167597765363132</v>
      </c>
      <c r="E124" s="122"/>
      <c r="F124" s="114">
        <f t="shared" si="40"/>
        <v>0.27932960893854752</v>
      </c>
      <c r="H124"/>
    </row>
    <row r="125" spans="1:8" x14ac:dyDescent="0.25">
      <c r="A125" s="119" t="s">
        <v>30</v>
      </c>
      <c r="B125" s="120">
        <f>SUM('POLLINATOR PLANTING'!B380:B386)</f>
        <v>20</v>
      </c>
      <c r="C125" s="121"/>
      <c r="D125" s="114">
        <f t="shared" si="39"/>
        <v>121.67597765363132</v>
      </c>
      <c r="E125" s="122"/>
      <c r="F125" s="114">
        <f t="shared" si="40"/>
        <v>2.7932960893854757</v>
      </c>
      <c r="H125"/>
    </row>
    <row r="126" spans="1:8" x14ac:dyDescent="0.25">
      <c r="A126" s="119" t="s">
        <v>31</v>
      </c>
      <c r="B126" s="120">
        <f>SUM('POLLINATOR PLANTING'!B387)</f>
        <v>82.185491276400342</v>
      </c>
      <c r="C126" s="121"/>
      <c r="D126" s="114">
        <f t="shared" si="39"/>
        <v>499.99999999999994</v>
      </c>
      <c r="E126" s="115"/>
      <c r="F126" s="114">
        <f t="shared" si="40"/>
        <v>11.478420569329659</v>
      </c>
      <c r="H126"/>
    </row>
    <row r="127" spans="1:8" x14ac:dyDescent="0.25">
      <c r="A127" s="118" t="s">
        <v>32</v>
      </c>
      <c r="B127" s="120">
        <f>SUM('POLLINATOR PLANTING'!B389)</f>
        <v>0</v>
      </c>
      <c r="C127" s="121"/>
      <c r="D127" s="123">
        <f t="shared" si="39"/>
        <v>0</v>
      </c>
      <c r="E127" s="133"/>
      <c r="F127" s="123">
        <f t="shared" si="40"/>
        <v>0</v>
      </c>
      <c r="H127"/>
    </row>
    <row r="128" spans="1:8" x14ac:dyDescent="0.25">
      <c r="A128" s="118" t="s">
        <v>127</v>
      </c>
      <c r="B128" s="120">
        <f>SUM('POLLINATOR PLANTING'!B390:B394)</f>
        <v>0</v>
      </c>
      <c r="C128" s="121"/>
      <c r="D128" s="123">
        <f t="shared" si="39"/>
        <v>0</v>
      </c>
      <c r="E128" s="133"/>
      <c r="F128" s="123">
        <f t="shared" si="40"/>
        <v>0</v>
      </c>
      <c r="H128"/>
    </row>
    <row r="129" spans="1:8" x14ac:dyDescent="0.25">
      <c r="A129" s="118" t="s">
        <v>33</v>
      </c>
      <c r="B129" s="120">
        <f>SUM('POLLINATOR PLANTING'!B395:B397)</f>
        <v>42.874196510560139</v>
      </c>
      <c r="C129" s="121"/>
      <c r="D129" s="114">
        <f t="shared" si="39"/>
        <v>260.83798882681566</v>
      </c>
      <c r="E129" s="133"/>
      <c r="F129" s="114">
        <f t="shared" si="40"/>
        <v>5.988016272424602</v>
      </c>
      <c r="H129"/>
    </row>
    <row r="130" spans="1:8" x14ac:dyDescent="0.25">
      <c r="A130" s="97" t="s">
        <v>34</v>
      </c>
      <c r="B130" s="128">
        <f>SUM(B121:B129)</f>
        <v>305.83124334251596</v>
      </c>
      <c r="C130" s="129"/>
      <c r="D130" s="130">
        <f>SUM(D121:D129)</f>
        <v>1860.615776536313</v>
      </c>
      <c r="E130" s="130"/>
      <c r="F130" s="130">
        <f>SUM(F121:F129)</f>
        <v>42.713860802027384</v>
      </c>
      <c r="H130"/>
    </row>
    <row r="131" spans="1:8" ht="13.8" thickBot="1" x14ac:dyDescent="0.3">
      <c r="A131" s="95"/>
      <c r="B131" s="128"/>
      <c r="C131" s="129"/>
      <c r="D131" s="130"/>
      <c r="E131" s="134"/>
      <c r="F131" s="134"/>
      <c r="H131"/>
    </row>
    <row r="132" spans="1:8" ht="13.8" thickBot="1" x14ac:dyDescent="0.3">
      <c r="A132" s="606" t="s">
        <v>185</v>
      </c>
      <c r="B132" s="607">
        <f>B130+B118+B116</f>
        <v>802.01563891374758</v>
      </c>
      <c r="C132" s="129"/>
      <c r="D132" s="608">
        <f>D130+D118+D116</f>
        <v>4879.3018479166012</v>
      </c>
      <c r="E132" s="130"/>
      <c r="F132" s="608">
        <f>F130+F118+F116</f>
        <v>112.01335739018825</v>
      </c>
      <c r="H132"/>
    </row>
    <row r="133" spans="1:8" ht="13.8" x14ac:dyDescent="0.3">
      <c r="A133" s="135"/>
      <c r="B133" s="128"/>
      <c r="C133" s="129"/>
      <c r="D133" s="130"/>
      <c r="E133" s="130"/>
      <c r="F133" s="130"/>
      <c r="H133"/>
    </row>
    <row r="134" spans="1:8" x14ac:dyDescent="0.25">
      <c r="A134" s="97" t="s">
        <v>698</v>
      </c>
      <c r="B134" s="109">
        <f>B12-B132</f>
        <v>-802.01563891374758</v>
      </c>
      <c r="C134" s="129"/>
      <c r="D134" s="111">
        <f>D12-D132</f>
        <v>-4879.3018479166012</v>
      </c>
      <c r="E134" s="130"/>
      <c r="F134" s="111">
        <f>F12-F132</f>
        <v>-112.01335739018825</v>
      </c>
      <c r="H134"/>
    </row>
    <row r="135" spans="1:8" x14ac:dyDescent="0.25">
      <c r="A135" s="97" t="s">
        <v>115</v>
      </c>
      <c r="B135" s="128">
        <f>B12-B116</f>
        <v>-496.18439557123162</v>
      </c>
      <c r="C135" s="129"/>
      <c r="D135" s="130">
        <f>D12-D116</f>
        <v>-3018.686071380288</v>
      </c>
      <c r="E135" s="130"/>
      <c r="F135" s="130">
        <f>F12-F116</f>
        <v>-69.299496588160864</v>
      </c>
      <c r="H135"/>
    </row>
    <row r="136" spans="1:8" x14ac:dyDescent="0.25">
      <c r="A136" s="95"/>
      <c r="B136" s="94"/>
      <c r="C136" s="94"/>
      <c r="D136" s="106"/>
      <c r="E136" s="98"/>
      <c r="F136" s="98"/>
      <c r="H136"/>
    </row>
    <row r="137" spans="1:8" x14ac:dyDescent="0.25">
      <c r="A137" s="97" t="s">
        <v>116</v>
      </c>
      <c r="B137" s="94"/>
      <c r="C137" s="94"/>
      <c r="D137" s="106"/>
      <c r="E137" s="98"/>
      <c r="F137" s="98"/>
      <c r="H137"/>
    </row>
    <row r="138" spans="1:8" x14ac:dyDescent="0.25">
      <c r="A138" s="136" t="s">
        <v>117</v>
      </c>
      <c r="B138" s="94"/>
      <c r="C138" s="94"/>
      <c r="D138" s="98" t="s">
        <v>37</v>
      </c>
      <c r="E138" s="98"/>
      <c r="F138" s="98" t="s">
        <v>478</v>
      </c>
      <c r="H138"/>
    </row>
    <row r="139" spans="1:8" x14ac:dyDescent="0.25">
      <c r="A139" s="118" t="s">
        <v>118</v>
      </c>
      <c r="B139" s="94"/>
      <c r="C139" s="94"/>
      <c r="D139" s="114">
        <f>$B$132/beepasture</f>
        <v>4879.3018479165994</v>
      </c>
      <c r="E139" s="115"/>
      <c r="F139" s="114">
        <f>$B$132/((beepasture*43560)/1000)</f>
        <v>112.01335739018823</v>
      </c>
      <c r="H139"/>
    </row>
    <row r="140" spans="1:8" x14ac:dyDescent="0.25">
      <c r="A140" s="118" t="s">
        <v>35</v>
      </c>
      <c r="B140" s="94"/>
      <c r="C140" s="94"/>
      <c r="D140" s="114">
        <f>$B$116/beepasture</f>
        <v>3018.6860713802871</v>
      </c>
      <c r="E140" s="115"/>
      <c r="F140" s="114">
        <f>$B$116/((beepasture*43560)/1000)</f>
        <v>69.299496588160849</v>
      </c>
      <c r="H140"/>
    </row>
    <row r="141" spans="1:8" x14ac:dyDescent="0.25">
      <c r="A141" s="137"/>
      <c r="B141" s="138"/>
      <c r="C141" s="138"/>
      <c r="D141" s="139"/>
      <c r="E141" s="140"/>
      <c r="F141" s="140"/>
      <c r="H141"/>
    </row>
  </sheetData>
  <pageMargins left="0.7" right="0.7" top="0.75" bottom="0.75" header="0.3" footer="0.3"/>
  <pageSetup scale="65" orientation="portrait" r:id="rId1"/>
  <rowBreaks count="1" manualBreakCount="1">
    <brk id="6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selection activeCell="C14" sqref="C14"/>
    </sheetView>
  </sheetViews>
  <sheetFormatPr defaultRowHeight="13.2" x14ac:dyDescent="0.25"/>
  <cols>
    <col min="1" max="1" width="40.77734375" customWidth="1"/>
    <col min="2" max="2" width="18.6640625" customWidth="1"/>
    <col min="4" max="4" width="11.77734375" customWidth="1"/>
    <col min="6" max="6" width="14.77734375" customWidth="1"/>
    <col min="8" max="8" width="9.109375" style="96"/>
    <col min="10" max="10" width="9.44140625" bestFit="1" customWidth="1"/>
  </cols>
  <sheetData>
    <row r="1" spans="1:6" x14ac:dyDescent="0.25">
      <c r="A1" s="93" t="s">
        <v>211</v>
      </c>
      <c r="B1" s="94" t="str">
        <f>'POLLINATOR PLANTING'!A3</f>
        <v>UNH Woodman Farm</v>
      </c>
      <c r="C1" s="94"/>
      <c r="D1" s="94"/>
      <c r="E1" s="95"/>
      <c r="F1" s="95"/>
    </row>
    <row r="2" spans="1:6" x14ac:dyDescent="0.25">
      <c r="A2" s="95"/>
      <c r="B2" s="94"/>
      <c r="C2" s="94"/>
      <c r="D2" s="94"/>
      <c r="E2" s="95"/>
      <c r="F2" s="95"/>
    </row>
    <row r="3" spans="1:6" x14ac:dyDescent="0.25">
      <c r="A3" s="97" t="s">
        <v>708</v>
      </c>
      <c r="B3" s="98" t="s">
        <v>212</v>
      </c>
      <c r="C3" s="250">
        <f>beepasture</f>
        <v>0.16437098255280069</v>
      </c>
      <c r="D3" s="95" t="s">
        <v>36</v>
      </c>
      <c r="E3" s="95"/>
      <c r="F3" s="95"/>
    </row>
    <row r="4" spans="1:6" x14ac:dyDescent="0.25">
      <c r="A4" s="100"/>
      <c r="B4" s="98" t="s">
        <v>213</v>
      </c>
      <c r="C4" s="99">
        <f>'POLLINATOR PLANTING'!N14</f>
        <v>0</v>
      </c>
      <c r="D4" s="95" t="s">
        <v>214</v>
      </c>
      <c r="E4" s="99">
        <f>C4</f>
        <v>0</v>
      </c>
      <c r="F4" s="95" t="s">
        <v>0</v>
      </c>
    </row>
    <row r="5" spans="1:6" x14ac:dyDescent="0.25">
      <c r="A5" s="95"/>
      <c r="B5" s="98" t="s">
        <v>1</v>
      </c>
      <c r="C5" s="177">
        <f>'POLLINATOR PLANTING'!L14</f>
        <v>0</v>
      </c>
      <c r="D5" s="95" t="s">
        <v>215</v>
      </c>
      <c r="E5" s="95"/>
      <c r="F5" s="95"/>
    </row>
    <row r="6" spans="1:6" x14ac:dyDescent="0.25">
      <c r="A6" s="95"/>
      <c r="B6" s="98"/>
      <c r="C6" s="99"/>
      <c r="D6" s="95"/>
      <c r="E6" s="95"/>
      <c r="F6" s="95"/>
    </row>
    <row r="7" spans="1:6" x14ac:dyDescent="0.25">
      <c r="A7" s="101"/>
      <c r="B7" s="102" t="s">
        <v>183</v>
      </c>
      <c r="C7" s="102"/>
      <c r="D7" s="102" t="s">
        <v>2</v>
      </c>
      <c r="E7" s="103"/>
      <c r="F7" s="102" t="s">
        <v>461</v>
      </c>
    </row>
    <row r="8" spans="1:6" x14ac:dyDescent="0.25">
      <c r="A8" s="95" t="s">
        <v>3</v>
      </c>
      <c r="B8" s="104">
        <f>C3</f>
        <v>0.16437098255280069</v>
      </c>
      <c r="C8" s="105"/>
      <c r="D8" s="106" t="s">
        <v>75</v>
      </c>
      <c r="E8" s="98"/>
      <c r="F8" s="106" t="s">
        <v>75</v>
      </c>
    </row>
    <row r="9" spans="1:6" x14ac:dyDescent="0.25">
      <c r="A9" s="95" t="s">
        <v>707</v>
      </c>
      <c r="B9" s="106" t="s">
        <v>75</v>
      </c>
      <c r="C9" s="105"/>
      <c r="D9" s="106" t="s">
        <v>75</v>
      </c>
      <c r="E9" s="98"/>
      <c r="F9" s="106" t="s">
        <v>75</v>
      </c>
    </row>
    <row r="10" spans="1:6" x14ac:dyDescent="0.25">
      <c r="A10" s="95" t="s">
        <v>156</v>
      </c>
      <c r="B10" s="178">
        <f>C5</f>
        <v>0</v>
      </c>
      <c r="C10" s="105"/>
      <c r="D10" s="106" t="s">
        <v>75</v>
      </c>
      <c r="E10" s="98"/>
      <c r="F10" s="106" t="s">
        <v>75</v>
      </c>
    </row>
    <row r="11" spans="1:6" ht="13.8" x14ac:dyDescent="0.3">
      <c r="A11" s="95"/>
      <c r="B11" s="107"/>
      <c r="C11" s="107"/>
      <c r="D11" s="108"/>
      <c r="E11" s="100"/>
      <c r="F11" s="108"/>
    </row>
    <row r="12" spans="1:6" x14ac:dyDescent="0.25">
      <c r="A12" s="97" t="s">
        <v>184</v>
      </c>
      <c r="B12" s="109">
        <f>beepasture*C4*C5</f>
        <v>0</v>
      </c>
      <c r="C12" s="110"/>
      <c r="D12" s="179">
        <f>B12/beepasture</f>
        <v>0</v>
      </c>
      <c r="E12" s="180"/>
      <c r="F12" s="179">
        <f>B12/((beepasture*43560)/1000)</f>
        <v>0</v>
      </c>
    </row>
    <row r="13" spans="1:6" x14ac:dyDescent="0.25">
      <c r="A13" s="95"/>
      <c r="B13" s="112"/>
      <c r="C13" s="113"/>
      <c r="D13" s="114"/>
      <c r="E13" s="115"/>
      <c r="F13" s="114"/>
    </row>
    <row r="14" spans="1:6" x14ac:dyDescent="0.25">
      <c r="A14" s="97" t="s">
        <v>4</v>
      </c>
      <c r="B14" s="116"/>
      <c r="C14" s="117"/>
      <c r="D14" s="114"/>
      <c r="E14" s="115"/>
      <c r="F14" s="114"/>
    </row>
    <row r="15" spans="1:6" x14ac:dyDescent="0.25">
      <c r="A15" s="118" t="s">
        <v>209</v>
      </c>
      <c r="B15" s="116"/>
      <c r="C15" s="117"/>
      <c r="D15" s="114"/>
      <c r="E15" s="115"/>
      <c r="F15" s="179"/>
    </row>
    <row r="16" spans="1:6" x14ac:dyDescent="0.25">
      <c r="A16" s="119" t="s">
        <v>5</v>
      </c>
      <c r="B16" s="120">
        <f>SUM('POLLINATOR PLANTING'!B21:B24)</f>
        <v>0</v>
      </c>
      <c r="C16" s="121"/>
      <c r="D16" s="123">
        <f>B16/beepasture</f>
        <v>0</v>
      </c>
      <c r="E16" s="115"/>
      <c r="F16" s="123">
        <f>B16/((beepasture*43560)/1000)</f>
        <v>0</v>
      </c>
    </row>
    <row r="17" spans="1:10" x14ac:dyDescent="0.25">
      <c r="A17" s="119" t="s">
        <v>208</v>
      </c>
      <c r="B17" s="120">
        <f>SUM('POLLINATOR PLANTING'!B25:B26)</f>
        <v>0</v>
      </c>
      <c r="C17" s="121"/>
      <c r="D17" s="123">
        <f>B17/beepasture</f>
        <v>0</v>
      </c>
      <c r="E17" s="122"/>
      <c r="F17" s="123">
        <f>B17/((beepasture*43560)/1000)</f>
        <v>0</v>
      </c>
    </row>
    <row r="18" spans="1:10" x14ac:dyDescent="0.25">
      <c r="A18" s="118" t="s">
        <v>6</v>
      </c>
      <c r="B18" s="116"/>
      <c r="C18" s="117"/>
      <c r="D18" s="114"/>
      <c r="E18" s="122"/>
      <c r="F18" s="114"/>
    </row>
    <row r="19" spans="1:10" x14ac:dyDescent="0.25">
      <c r="A19" s="119" t="s">
        <v>7</v>
      </c>
      <c r="B19" s="120">
        <f>SUM('POLLINATOR PLANTING'!B28)</f>
        <v>0</v>
      </c>
      <c r="C19" s="121"/>
      <c r="D19" s="123">
        <f t="shared" ref="D19:D33" si="0">B19/beepasture</f>
        <v>0</v>
      </c>
      <c r="E19" s="115"/>
      <c r="F19" s="123">
        <f t="shared" ref="F19:F33" si="1">B19/((beepasture*43560)/1000)</f>
        <v>0</v>
      </c>
    </row>
    <row r="20" spans="1:10" x14ac:dyDescent="0.25">
      <c r="A20" s="119" t="s">
        <v>350</v>
      </c>
      <c r="B20" s="120">
        <f>SUM('POLLINATOR PLANTING'!B29:B32)</f>
        <v>2.6717955755340217</v>
      </c>
      <c r="C20" s="121"/>
      <c r="D20" s="114">
        <f t="shared" si="0"/>
        <v>16.254666937187434</v>
      </c>
      <c r="E20" s="115"/>
      <c r="F20" s="114">
        <f t="shared" si="1"/>
        <v>0.37315580663882991</v>
      </c>
    </row>
    <row r="21" spans="1:10" x14ac:dyDescent="0.25">
      <c r="A21" s="119" t="s">
        <v>8</v>
      </c>
      <c r="B21" s="120">
        <f>SUM('POLLINATOR PLANTING'!B33)</f>
        <v>0</v>
      </c>
      <c r="C21" s="121"/>
      <c r="D21" s="123">
        <f t="shared" si="0"/>
        <v>0</v>
      </c>
      <c r="E21" s="115"/>
      <c r="F21" s="123">
        <f t="shared" si="1"/>
        <v>0</v>
      </c>
    </row>
    <row r="22" spans="1:10" x14ac:dyDescent="0.25">
      <c r="A22" s="119" t="s">
        <v>472</v>
      </c>
      <c r="B22" s="121">
        <f>SUM('POLLINATOR PLANTING'!B34:B35)</f>
        <v>6.2207897746922617E-3</v>
      </c>
      <c r="C22" s="121"/>
      <c r="D22" s="114">
        <f t="shared" si="0"/>
        <v>3.7846033880669691E-2</v>
      </c>
      <c r="E22" s="115"/>
      <c r="F22" s="276">
        <f t="shared" si="1"/>
        <v>8.6882538752685245E-4</v>
      </c>
    </row>
    <row r="23" spans="1:10" x14ac:dyDescent="0.25">
      <c r="A23" s="118" t="s">
        <v>237</v>
      </c>
      <c r="B23" s="120">
        <f>SUM('POLLINATOR PLANTING'!B36)</f>
        <v>0</v>
      </c>
      <c r="C23" s="117"/>
      <c r="D23" s="123">
        <f t="shared" si="0"/>
        <v>0</v>
      </c>
      <c r="E23" s="115"/>
      <c r="F23" s="123">
        <f t="shared" si="1"/>
        <v>0</v>
      </c>
    </row>
    <row r="24" spans="1:10" x14ac:dyDescent="0.25">
      <c r="A24" s="118" t="s">
        <v>240</v>
      </c>
      <c r="B24" s="120">
        <f>SUM('POLLINATOR PLANTING'!B37:B39)</f>
        <v>348.2999999999999</v>
      </c>
      <c r="C24" s="117"/>
      <c r="D24" s="114">
        <f t="shared" si="0"/>
        <v>2118.9871508379888</v>
      </c>
      <c r="E24" s="122"/>
      <c r="F24" s="114">
        <f t="shared" si="1"/>
        <v>48.645251396648042</v>
      </c>
    </row>
    <row r="25" spans="1:10" x14ac:dyDescent="0.25">
      <c r="A25" s="118" t="s">
        <v>351</v>
      </c>
      <c r="B25" s="116">
        <f>SUM('POLLINATOR PLANTING'!B41:B48)</f>
        <v>17.500357106417759</v>
      </c>
      <c r="C25" s="117"/>
      <c r="D25" s="114">
        <f t="shared" si="0"/>
        <v>106.46865301055276</v>
      </c>
      <c r="E25" s="122"/>
      <c r="F25" s="114">
        <f t="shared" si="1"/>
        <v>2.444183953410302</v>
      </c>
    </row>
    <row r="26" spans="1:10" x14ac:dyDescent="0.25">
      <c r="A26" s="118" t="s">
        <v>397</v>
      </c>
      <c r="B26" s="116">
        <f>SUM('POLLINATOR PLANTING'!B50:B51)</f>
        <v>3.5664059889044841</v>
      </c>
      <c r="C26" s="117"/>
      <c r="D26" s="114">
        <f t="shared" si="0"/>
        <v>21.697296770485945</v>
      </c>
      <c r="E26" s="122"/>
      <c r="F26" s="114">
        <f t="shared" si="1"/>
        <v>0.49810139509839174</v>
      </c>
    </row>
    <row r="27" spans="1:10" x14ac:dyDescent="0.25">
      <c r="A27" s="118" t="s">
        <v>719</v>
      </c>
      <c r="B27" s="116">
        <f>SUM('POLLINATOR PLANTING'!B52:B53)</f>
        <v>0</v>
      </c>
      <c r="C27" s="117"/>
      <c r="D27" s="114">
        <f t="shared" ref="D27" si="2">B27/beepasture</f>
        <v>0</v>
      </c>
      <c r="E27" s="122"/>
      <c r="F27" s="114">
        <f t="shared" ref="F27" si="3">B27/((beepasture*43560)/1000)</f>
        <v>0</v>
      </c>
    </row>
    <row r="28" spans="1:10" x14ac:dyDescent="0.25">
      <c r="A28" s="118" t="s">
        <v>9</v>
      </c>
      <c r="B28" s="116">
        <f>SUM('POLLINATOR PLANTING'!B55:B164)</f>
        <v>118.02418911335572</v>
      </c>
      <c r="C28" s="117"/>
      <c r="D28" s="114">
        <f t="shared" si="0"/>
        <v>718.03542985723129</v>
      </c>
      <c r="E28" s="115"/>
      <c r="F28" s="114">
        <f t="shared" si="1"/>
        <v>16.483825295161417</v>
      </c>
    </row>
    <row r="29" spans="1:10" x14ac:dyDescent="0.25">
      <c r="A29" s="118" t="s">
        <v>207</v>
      </c>
      <c r="B29" s="116">
        <f>SUM('POLLINATOR PLANTING'!B166:B168)</f>
        <v>0</v>
      </c>
      <c r="C29" s="117"/>
      <c r="D29" s="123">
        <f t="shared" si="0"/>
        <v>0</v>
      </c>
      <c r="E29" s="122"/>
      <c r="F29" s="123">
        <f t="shared" si="1"/>
        <v>0</v>
      </c>
      <c r="H29" s="125"/>
      <c r="I29" s="126"/>
      <c r="J29" s="127"/>
    </row>
    <row r="30" spans="1:10" x14ac:dyDescent="0.25">
      <c r="A30" s="118" t="s">
        <v>206</v>
      </c>
      <c r="B30" s="116">
        <f>SUM('POLLINATOR PLANTING'!B170:B174)</f>
        <v>0</v>
      </c>
      <c r="C30" s="117"/>
      <c r="D30" s="123">
        <f t="shared" si="0"/>
        <v>0</v>
      </c>
      <c r="E30" s="122"/>
      <c r="F30" s="123">
        <f t="shared" si="1"/>
        <v>0</v>
      </c>
      <c r="H30" s="125"/>
      <c r="I30" s="126"/>
      <c r="J30" s="127"/>
    </row>
    <row r="31" spans="1:10" x14ac:dyDescent="0.25">
      <c r="A31" s="118" t="s">
        <v>205</v>
      </c>
      <c r="B31" s="116">
        <f>SUM('POLLINATOR PLANTING'!B176:B287)</f>
        <v>3.0654269972451775</v>
      </c>
      <c r="C31" s="117"/>
      <c r="D31" s="114">
        <f t="shared" si="0"/>
        <v>18.649441340782118</v>
      </c>
      <c r="E31" s="115"/>
      <c r="F31" s="114">
        <f t="shared" si="1"/>
        <v>0.42813226218508077</v>
      </c>
    </row>
    <row r="32" spans="1:10" x14ac:dyDescent="0.25">
      <c r="A32" s="118" t="s">
        <v>67</v>
      </c>
      <c r="B32" s="116">
        <f>SUM('POLLINATOR PLANTING'!B289:B292)</f>
        <v>0</v>
      </c>
      <c r="C32" s="117"/>
      <c r="D32" s="123">
        <f t="shared" si="0"/>
        <v>0</v>
      </c>
      <c r="E32" s="115"/>
      <c r="F32" s="123">
        <f t="shared" si="1"/>
        <v>0</v>
      </c>
      <c r="H32" s="125"/>
    </row>
    <row r="33" spans="1:8" x14ac:dyDescent="0.25">
      <c r="A33" s="118" t="s">
        <v>14</v>
      </c>
      <c r="B33" s="116">
        <f>SUM('POLLINATOR PLANTING'!B294:B295)</f>
        <v>3.0500000000000003</v>
      </c>
      <c r="C33" s="117"/>
      <c r="D33" s="114">
        <f t="shared" si="0"/>
        <v>18.555586592178777</v>
      </c>
      <c r="E33" s="115"/>
      <c r="F33" s="114">
        <f t="shared" si="1"/>
        <v>0.42597765363128504</v>
      </c>
      <c r="H33" s="125"/>
    </row>
    <row r="34" spans="1:8" x14ac:dyDescent="0.25">
      <c r="A34" s="118" t="s">
        <v>15</v>
      </c>
      <c r="B34" s="120"/>
      <c r="C34" s="121"/>
      <c r="D34" s="114"/>
      <c r="E34" s="115"/>
      <c r="F34" s="114"/>
    </row>
    <row r="35" spans="1:8" x14ac:dyDescent="0.25">
      <c r="A35" s="119" t="s">
        <v>203</v>
      </c>
      <c r="B35" s="120">
        <f>SUM('POLLINATOR PLANTING'!B297)</f>
        <v>0</v>
      </c>
      <c r="C35" s="121"/>
      <c r="D35" s="123">
        <f t="shared" ref="D35:D48" si="4">B35/beepasture</f>
        <v>0</v>
      </c>
      <c r="E35" s="122"/>
      <c r="F35" s="123">
        <f t="shared" ref="F35:F48" si="5">B35/((beepasture*43560)/1000)</f>
        <v>0</v>
      </c>
    </row>
    <row r="36" spans="1:8" x14ac:dyDescent="0.25">
      <c r="A36" s="119" t="s">
        <v>16</v>
      </c>
      <c r="B36" s="120">
        <f>SUM('POLLINATOR PLANTING'!B298)</f>
        <v>0</v>
      </c>
      <c r="C36" s="121"/>
      <c r="D36" s="123">
        <f t="shared" si="4"/>
        <v>0</v>
      </c>
      <c r="E36" s="122"/>
      <c r="F36" s="123">
        <f t="shared" si="5"/>
        <v>0</v>
      </c>
    </row>
    <row r="37" spans="1:8" x14ac:dyDescent="0.25">
      <c r="A37" s="119" t="s">
        <v>17</v>
      </c>
      <c r="B37" s="120">
        <f>SUM('POLLINATOR PLANTING'!B299)</f>
        <v>0</v>
      </c>
      <c r="C37" s="121"/>
      <c r="D37" s="123">
        <f t="shared" si="4"/>
        <v>0</v>
      </c>
      <c r="E37" s="122"/>
      <c r="F37" s="123">
        <f t="shared" si="5"/>
        <v>0</v>
      </c>
    </row>
    <row r="38" spans="1:8" x14ac:dyDescent="0.25">
      <c r="A38" s="119" t="s">
        <v>18</v>
      </c>
      <c r="B38" s="120">
        <f>SUM('POLLINATOR PLANTING'!B300)</f>
        <v>0</v>
      </c>
      <c r="C38" s="121"/>
      <c r="D38" s="123">
        <f t="shared" si="4"/>
        <v>0</v>
      </c>
      <c r="E38" s="122"/>
      <c r="F38" s="123">
        <f t="shared" si="5"/>
        <v>0</v>
      </c>
    </row>
    <row r="39" spans="1:8" x14ac:dyDescent="0.25">
      <c r="A39" s="119" t="s">
        <v>371</v>
      </c>
      <c r="B39" s="120">
        <f>SUM('POLLINATOR PLANTING'!B301)</f>
        <v>0</v>
      </c>
      <c r="C39" s="121"/>
      <c r="D39" s="123">
        <f t="shared" si="4"/>
        <v>0</v>
      </c>
      <c r="E39" s="122"/>
      <c r="F39" s="123">
        <f t="shared" si="5"/>
        <v>0</v>
      </c>
    </row>
    <row r="40" spans="1:8" x14ac:dyDescent="0.25">
      <c r="A40" s="119" t="s">
        <v>372</v>
      </c>
      <c r="B40" s="120">
        <f>SUM('POLLINATOR PLANTING'!B302)</f>
        <v>0</v>
      </c>
      <c r="C40" s="121"/>
      <c r="D40" s="123">
        <f t="shared" si="4"/>
        <v>0</v>
      </c>
      <c r="E40" s="122"/>
      <c r="F40" s="123">
        <f t="shared" si="5"/>
        <v>0</v>
      </c>
    </row>
    <row r="41" spans="1:8" x14ac:dyDescent="0.25">
      <c r="A41" s="119" t="s">
        <v>373</v>
      </c>
      <c r="B41" s="120">
        <f>SUM('POLLINATOR PLANTING'!B303)</f>
        <v>0</v>
      </c>
      <c r="C41" s="121"/>
      <c r="D41" s="123">
        <f t="shared" si="4"/>
        <v>0</v>
      </c>
      <c r="E41" s="122"/>
      <c r="F41" s="123">
        <f t="shared" si="5"/>
        <v>0</v>
      </c>
    </row>
    <row r="42" spans="1:8" x14ac:dyDescent="0.25">
      <c r="A42" s="119" t="s">
        <v>374</v>
      </c>
      <c r="B42" s="120">
        <f>SUM('POLLINATOR PLANTING'!B304)</f>
        <v>0</v>
      </c>
      <c r="C42" s="121"/>
      <c r="D42" s="123">
        <f t="shared" si="4"/>
        <v>0</v>
      </c>
      <c r="E42" s="122"/>
      <c r="F42" s="123">
        <f t="shared" si="5"/>
        <v>0</v>
      </c>
    </row>
    <row r="43" spans="1:8" x14ac:dyDescent="0.25">
      <c r="A43" s="119" t="s">
        <v>216</v>
      </c>
      <c r="B43" s="120">
        <f>SUM('POLLINATOR PLANTING'!B305)</f>
        <v>0</v>
      </c>
      <c r="C43" s="121"/>
      <c r="D43" s="123">
        <f t="shared" si="4"/>
        <v>0</v>
      </c>
      <c r="E43" s="122"/>
      <c r="F43" s="123">
        <f t="shared" si="5"/>
        <v>0</v>
      </c>
    </row>
    <row r="44" spans="1:8" x14ac:dyDescent="0.25">
      <c r="A44" s="119" t="s">
        <v>19</v>
      </c>
      <c r="B44" s="120">
        <f>SUM('POLLINATOR PLANTING'!B306)</f>
        <v>0</v>
      </c>
      <c r="C44" s="121"/>
      <c r="D44" s="123">
        <f t="shared" si="4"/>
        <v>0</v>
      </c>
      <c r="E44" s="122"/>
      <c r="F44" s="123">
        <f t="shared" si="5"/>
        <v>0</v>
      </c>
    </row>
    <row r="45" spans="1:8" x14ac:dyDescent="0.25">
      <c r="A45" s="119" t="s">
        <v>20</v>
      </c>
      <c r="B45" s="120">
        <f>SUM('POLLINATOR PLANTING'!B307)</f>
        <v>0</v>
      </c>
      <c r="C45" s="121"/>
      <c r="D45" s="123">
        <f t="shared" si="4"/>
        <v>0</v>
      </c>
      <c r="E45" s="122"/>
      <c r="F45" s="123">
        <f t="shared" si="5"/>
        <v>0</v>
      </c>
    </row>
    <row r="46" spans="1:8" x14ac:dyDescent="0.25">
      <c r="A46" s="119" t="s">
        <v>21</v>
      </c>
      <c r="B46" s="120">
        <f>SUM('POLLINATOR PLANTING'!B308)</f>
        <v>0</v>
      </c>
      <c r="C46" s="121"/>
      <c r="D46" s="123">
        <f t="shared" si="4"/>
        <v>0</v>
      </c>
      <c r="E46" s="122"/>
      <c r="F46" s="123">
        <f t="shared" si="5"/>
        <v>0</v>
      </c>
    </row>
    <row r="47" spans="1:8" x14ac:dyDescent="0.25">
      <c r="A47" s="119" t="s">
        <v>22</v>
      </c>
      <c r="B47" s="120">
        <f>SUM('POLLINATOR PLANTING'!B310:B311)</f>
        <v>0</v>
      </c>
      <c r="C47" s="121"/>
      <c r="D47" s="123">
        <f t="shared" si="4"/>
        <v>0</v>
      </c>
      <c r="E47" s="115"/>
      <c r="F47" s="123">
        <f t="shared" si="5"/>
        <v>0</v>
      </c>
    </row>
    <row r="48" spans="1:8" x14ac:dyDescent="0.25">
      <c r="A48" s="118" t="s">
        <v>23</v>
      </c>
      <c r="B48" s="120">
        <f>SUM('POLLINATOR PLANTING'!B293)</f>
        <v>0</v>
      </c>
      <c r="C48" s="121"/>
      <c r="D48" s="123">
        <f t="shared" si="4"/>
        <v>0</v>
      </c>
      <c r="E48" s="115"/>
      <c r="F48" s="123">
        <f t="shared" si="5"/>
        <v>0</v>
      </c>
    </row>
    <row r="49" spans="1:8" x14ac:dyDescent="0.25">
      <c r="A49" s="97" t="s">
        <v>24</v>
      </c>
      <c r="B49" s="128">
        <f>SUM(B15:B48)</f>
        <v>496.18439557123179</v>
      </c>
      <c r="C49" s="129"/>
      <c r="D49" s="130">
        <f>SUM(D15:D48)</f>
        <v>3018.6860713802876</v>
      </c>
      <c r="E49" s="130"/>
      <c r="F49" s="130">
        <f>SUM(F15:F48)</f>
        <v>69.299496588160878</v>
      </c>
    </row>
    <row r="50" spans="1:8" x14ac:dyDescent="0.25">
      <c r="A50" s="131"/>
      <c r="B50" s="120"/>
      <c r="C50" s="121"/>
      <c r="D50" s="132"/>
      <c r="E50" s="133"/>
      <c r="F50" s="133"/>
    </row>
    <row r="51" spans="1:8" x14ac:dyDescent="0.25">
      <c r="A51" s="97" t="s">
        <v>25</v>
      </c>
      <c r="B51" s="128">
        <f>SUM('POLLINATOR PLANTING'!B315:B321)</f>
        <v>0</v>
      </c>
      <c r="C51" s="129"/>
      <c r="D51" s="179">
        <f>B51/beepasture</f>
        <v>0</v>
      </c>
      <c r="E51" s="130"/>
      <c r="F51" s="179">
        <f>B51/((beepasture*43560)/1000)</f>
        <v>0</v>
      </c>
    </row>
    <row r="52" spans="1:8" x14ac:dyDescent="0.25">
      <c r="A52" s="131"/>
      <c r="B52" s="120"/>
      <c r="C52" s="121"/>
      <c r="D52" s="132"/>
      <c r="E52" s="133"/>
      <c r="F52" s="133"/>
    </row>
    <row r="53" spans="1:8" x14ac:dyDescent="0.25">
      <c r="A53" s="97" t="s">
        <v>26</v>
      </c>
      <c r="B53" s="120"/>
      <c r="C53" s="121"/>
      <c r="D53" s="132"/>
      <c r="E53" s="133"/>
      <c r="F53" s="133"/>
    </row>
    <row r="54" spans="1:8" x14ac:dyDescent="0.25">
      <c r="A54" s="118" t="s">
        <v>27</v>
      </c>
      <c r="B54" s="120"/>
      <c r="C54" s="121"/>
      <c r="D54" s="114"/>
      <c r="E54" s="133"/>
      <c r="F54" s="114"/>
    </row>
    <row r="55" spans="1:8" x14ac:dyDescent="0.25">
      <c r="A55" s="119" t="s">
        <v>28</v>
      </c>
      <c r="B55" s="120">
        <f>SUM('POLLINATOR PLANTING'!B328:B334)</f>
        <v>4.166666666666667</v>
      </c>
      <c r="C55" s="121"/>
      <c r="D55" s="114">
        <f t="shared" ref="D55:D62" si="6">B55/beepasture</f>
        <v>25.349162011173192</v>
      </c>
      <c r="E55" s="122"/>
      <c r="F55" s="114">
        <f t="shared" ref="F55:F62" si="7">B55/((beepasture*43560)/1000)</f>
        <v>0.58193668528864073</v>
      </c>
    </row>
    <row r="56" spans="1:8" x14ac:dyDescent="0.25">
      <c r="A56" s="119" t="s">
        <v>375</v>
      </c>
      <c r="B56" s="120">
        <f>SUM('POLLINATOR PLANTING'!B335:B375)</f>
        <v>154.60488888888884</v>
      </c>
      <c r="C56" s="121"/>
      <c r="D56" s="114">
        <f t="shared" si="6"/>
        <v>940.58505027932949</v>
      </c>
      <c r="E56" s="122"/>
      <c r="F56" s="114">
        <f t="shared" si="7"/>
        <v>21.592861576660457</v>
      </c>
    </row>
    <row r="57" spans="1:8" x14ac:dyDescent="0.25">
      <c r="A57" s="119" t="s">
        <v>29</v>
      </c>
      <c r="B57" s="120">
        <f>SUM('POLLINATOR PLANTING'!B376:B379)</f>
        <v>2</v>
      </c>
      <c r="C57" s="121"/>
      <c r="D57" s="114">
        <f t="shared" si="6"/>
        <v>12.167597765363132</v>
      </c>
      <c r="E57" s="122"/>
      <c r="F57" s="114">
        <f t="shared" si="7"/>
        <v>0.27932960893854752</v>
      </c>
      <c r="H57"/>
    </row>
    <row r="58" spans="1:8" x14ac:dyDescent="0.25">
      <c r="A58" s="119" t="s">
        <v>30</v>
      </c>
      <c r="B58" s="120">
        <f>SUM('POLLINATOR PLANTING'!B380:B386)</f>
        <v>20</v>
      </c>
      <c r="C58" s="121"/>
      <c r="D58" s="114">
        <f t="shared" si="6"/>
        <v>121.67597765363132</v>
      </c>
      <c r="E58" s="122"/>
      <c r="F58" s="114">
        <f t="shared" si="7"/>
        <v>2.7932960893854757</v>
      </c>
      <c r="H58"/>
    </row>
    <row r="59" spans="1:8" x14ac:dyDescent="0.25">
      <c r="A59" s="119" t="s">
        <v>31</v>
      </c>
      <c r="B59" s="120">
        <f>SUM('POLLINATOR PLANTING'!B387)</f>
        <v>82.185491276400342</v>
      </c>
      <c r="C59" s="121"/>
      <c r="D59" s="114">
        <f t="shared" si="6"/>
        <v>499.99999999999994</v>
      </c>
      <c r="E59" s="115"/>
      <c r="F59" s="114">
        <f t="shared" si="7"/>
        <v>11.478420569329659</v>
      </c>
      <c r="H59"/>
    </row>
    <row r="60" spans="1:8" x14ac:dyDescent="0.25">
      <c r="A60" s="118" t="s">
        <v>32</v>
      </c>
      <c r="B60" s="120">
        <f>SUM('POLLINATOR PLANTING'!B389)</f>
        <v>0</v>
      </c>
      <c r="C60" s="121"/>
      <c r="D60" s="123">
        <f t="shared" si="6"/>
        <v>0</v>
      </c>
      <c r="E60" s="133"/>
      <c r="F60" s="123">
        <f t="shared" si="7"/>
        <v>0</v>
      </c>
      <c r="H60"/>
    </row>
    <row r="61" spans="1:8" x14ac:dyDescent="0.25">
      <c r="A61" s="118" t="s">
        <v>127</v>
      </c>
      <c r="B61" s="120">
        <f>SUM('POLLINATOR PLANTING'!B390:B394)</f>
        <v>0</v>
      </c>
      <c r="C61" s="121"/>
      <c r="D61" s="123">
        <f t="shared" si="6"/>
        <v>0</v>
      </c>
      <c r="E61" s="133"/>
      <c r="F61" s="123">
        <f t="shared" si="7"/>
        <v>0</v>
      </c>
      <c r="H61"/>
    </row>
    <row r="62" spans="1:8" x14ac:dyDescent="0.25">
      <c r="A62" s="118" t="s">
        <v>33</v>
      </c>
      <c r="B62" s="120">
        <f>SUM('POLLINATOR PLANTING'!B395:B397)</f>
        <v>42.874196510560139</v>
      </c>
      <c r="C62" s="121"/>
      <c r="D62" s="114">
        <f t="shared" si="6"/>
        <v>260.83798882681566</v>
      </c>
      <c r="E62" s="133"/>
      <c r="F62" s="114">
        <f t="shared" si="7"/>
        <v>5.988016272424602</v>
      </c>
      <c r="H62"/>
    </row>
    <row r="63" spans="1:8" x14ac:dyDescent="0.25">
      <c r="A63" s="97" t="s">
        <v>34</v>
      </c>
      <c r="B63" s="128">
        <f>SUM(B54:B62)</f>
        <v>305.83124334251596</v>
      </c>
      <c r="C63" s="129"/>
      <c r="D63" s="130">
        <f>SUM(D54:D62)</f>
        <v>1860.615776536313</v>
      </c>
      <c r="E63" s="130"/>
      <c r="F63" s="130">
        <f>SUM(F54:F62)</f>
        <v>42.713860802027384</v>
      </c>
      <c r="H63"/>
    </row>
    <row r="64" spans="1:8" ht="13.8" thickBot="1" x14ac:dyDescent="0.3">
      <c r="A64" s="95"/>
      <c r="B64" s="128"/>
      <c r="C64" s="129"/>
      <c r="D64" s="130"/>
      <c r="E64" s="134"/>
      <c r="F64" s="134"/>
      <c r="H64"/>
    </row>
    <row r="65" spans="1:8" ht="13.8" thickBot="1" x14ac:dyDescent="0.3">
      <c r="A65" s="606" t="s">
        <v>185</v>
      </c>
      <c r="B65" s="607">
        <f>B63+B51+B49</f>
        <v>802.01563891374781</v>
      </c>
      <c r="C65" s="129"/>
      <c r="D65" s="608">
        <f>D63+D51+D49</f>
        <v>4879.3018479166003</v>
      </c>
      <c r="E65" s="130"/>
      <c r="F65" s="608">
        <f>F63+F51+F49</f>
        <v>112.01335739018826</v>
      </c>
      <c r="H65"/>
    </row>
    <row r="66" spans="1:8" ht="13.8" x14ac:dyDescent="0.3">
      <c r="A66" s="135"/>
      <c r="B66" s="128"/>
      <c r="C66" s="129"/>
      <c r="D66" s="130"/>
      <c r="E66" s="130"/>
      <c r="F66" s="130"/>
      <c r="H66"/>
    </row>
    <row r="67" spans="1:8" x14ac:dyDescent="0.25">
      <c r="A67" s="97" t="s">
        <v>698</v>
      </c>
      <c r="B67" s="109">
        <f>B12-B65</f>
        <v>-802.01563891374781</v>
      </c>
      <c r="C67" s="129"/>
      <c r="D67" s="111">
        <f>D12-D65</f>
        <v>-4879.3018479166003</v>
      </c>
      <c r="E67" s="130"/>
      <c r="F67" s="111">
        <f>F12-F65</f>
        <v>-112.01335739018826</v>
      </c>
      <c r="H67"/>
    </row>
    <row r="68" spans="1:8" x14ac:dyDescent="0.25">
      <c r="A68" s="97" t="s">
        <v>115</v>
      </c>
      <c r="B68" s="128">
        <f>B12-B49</f>
        <v>-496.18439557123179</v>
      </c>
      <c r="C68" s="129"/>
      <c r="D68" s="130">
        <f>D12-D49</f>
        <v>-3018.6860713802876</v>
      </c>
      <c r="E68" s="130"/>
      <c r="F68" s="130">
        <f>F12-F49</f>
        <v>-69.299496588160878</v>
      </c>
      <c r="H68"/>
    </row>
    <row r="69" spans="1:8" x14ac:dyDescent="0.25">
      <c r="A69" s="95"/>
      <c r="B69" s="94"/>
      <c r="C69" s="94"/>
      <c r="D69" s="106"/>
      <c r="E69" s="98"/>
      <c r="F69" s="98"/>
      <c r="H69"/>
    </row>
    <row r="70" spans="1:8" x14ac:dyDescent="0.25">
      <c r="A70" s="97" t="s">
        <v>116</v>
      </c>
      <c r="B70" s="94"/>
      <c r="C70" s="94"/>
      <c r="D70" s="106"/>
      <c r="E70" s="98"/>
      <c r="F70" s="98"/>
      <c r="H70"/>
    </row>
    <row r="71" spans="1:8" x14ac:dyDescent="0.25">
      <c r="A71" s="136" t="s">
        <v>117</v>
      </c>
      <c r="B71" s="94"/>
      <c r="C71" s="94"/>
      <c r="D71" s="98" t="s">
        <v>37</v>
      </c>
      <c r="E71" s="98"/>
      <c r="F71" s="98" t="s">
        <v>478</v>
      </c>
      <c r="H71"/>
    </row>
    <row r="72" spans="1:8" x14ac:dyDescent="0.25">
      <c r="A72" s="118" t="s">
        <v>118</v>
      </c>
      <c r="B72" s="94"/>
      <c r="C72" s="94"/>
      <c r="D72" s="114">
        <f>$B$65/beepasture</f>
        <v>4879.3018479166012</v>
      </c>
      <c r="E72" s="115"/>
      <c r="F72" s="114">
        <f>$B$65/((beepasture*43560)/1000)</f>
        <v>112.01335739018826</v>
      </c>
      <c r="H72"/>
    </row>
    <row r="73" spans="1:8" x14ac:dyDescent="0.25">
      <c r="A73" s="118" t="s">
        <v>35</v>
      </c>
      <c r="B73" s="94"/>
      <c r="C73" s="94"/>
      <c r="D73" s="114">
        <f>$B$49/beepasture</f>
        <v>3018.686071380288</v>
      </c>
      <c r="E73" s="115"/>
      <c r="F73" s="114">
        <f>$B$49/((beepasture*43560)/1000)</f>
        <v>69.299496588160878</v>
      </c>
      <c r="H73"/>
    </row>
    <row r="74" spans="1:8" x14ac:dyDescent="0.25">
      <c r="A74" s="137"/>
      <c r="B74" s="138"/>
      <c r="C74" s="138"/>
      <c r="D74" s="139"/>
      <c r="E74" s="140"/>
      <c r="F74" s="140"/>
      <c r="H74"/>
    </row>
  </sheetData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4"/>
  <sheetViews>
    <sheetView topLeftCell="A22" zoomScaleNormal="100" workbookViewId="0">
      <selection activeCell="B28" sqref="B28"/>
    </sheetView>
  </sheetViews>
  <sheetFormatPr defaultRowHeight="13.2" x14ac:dyDescent="0.25"/>
  <cols>
    <col min="1" max="1" width="40.77734375" customWidth="1"/>
    <col min="2" max="2" width="18.6640625" customWidth="1"/>
    <col min="4" max="4" width="11.77734375" customWidth="1"/>
    <col min="6" max="6" width="14.77734375" customWidth="1"/>
    <col min="8" max="8" width="8.88671875" style="96"/>
    <col min="10" max="10" width="9.44140625" bestFit="1" customWidth="1"/>
  </cols>
  <sheetData>
    <row r="1" spans="1:6" x14ac:dyDescent="0.25">
      <c r="A1" s="93" t="s">
        <v>211</v>
      </c>
      <c r="B1" s="94" t="str">
        <f>'POLLINATOR PLANTING'!A3</f>
        <v>UNH Woodman Farm</v>
      </c>
      <c r="C1" s="94"/>
      <c r="D1" s="94"/>
      <c r="E1" s="95"/>
      <c r="F1" s="95"/>
    </row>
    <row r="2" spans="1:6" x14ac:dyDescent="0.25">
      <c r="A2" s="95"/>
      <c r="B2" s="94"/>
      <c r="C2" s="94"/>
      <c r="D2" s="94"/>
      <c r="E2" s="95"/>
      <c r="F2" s="95"/>
    </row>
    <row r="3" spans="1:6" x14ac:dyDescent="0.25">
      <c r="A3" s="97" t="s">
        <v>709</v>
      </c>
      <c r="B3" s="98" t="s">
        <v>212</v>
      </c>
      <c r="C3" s="250">
        <f>beepasture</f>
        <v>0.16437098255280069</v>
      </c>
      <c r="D3" s="95" t="s">
        <v>36</v>
      </c>
      <c r="E3" s="95"/>
      <c r="F3" s="95"/>
    </row>
    <row r="4" spans="1:6" x14ac:dyDescent="0.25">
      <c r="A4" s="100"/>
      <c r="B4" s="98" t="s">
        <v>213</v>
      </c>
      <c r="C4" s="99">
        <f>'POLLINATOR PLANTING'!N14</f>
        <v>0</v>
      </c>
      <c r="D4" s="95" t="s">
        <v>214</v>
      </c>
      <c r="E4" s="99">
        <f>C4</f>
        <v>0</v>
      </c>
      <c r="F4" s="95" t="s">
        <v>0</v>
      </c>
    </row>
    <row r="5" spans="1:6" x14ac:dyDescent="0.25">
      <c r="A5" s="95"/>
      <c r="B5" s="98" t="s">
        <v>1</v>
      </c>
      <c r="C5" s="177">
        <f>'POLLINATOR PLANTING'!L14</f>
        <v>0</v>
      </c>
      <c r="D5" s="95" t="s">
        <v>215</v>
      </c>
      <c r="E5" s="95"/>
      <c r="F5" s="95"/>
    </row>
    <row r="6" spans="1:6" x14ac:dyDescent="0.25">
      <c r="A6" s="95"/>
      <c r="B6" s="98"/>
      <c r="C6" s="99"/>
      <c r="D6" s="95"/>
      <c r="E6" s="95"/>
      <c r="F6" s="95"/>
    </row>
    <row r="7" spans="1:6" x14ac:dyDescent="0.25">
      <c r="A7" s="101"/>
      <c r="B7" s="102" t="s">
        <v>183</v>
      </c>
      <c r="C7" s="102"/>
      <c r="D7" s="102" t="s">
        <v>2</v>
      </c>
      <c r="E7" s="103"/>
      <c r="F7" s="102" t="s">
        <v>461</v>
      </c>
    </row>
    <row r="8" spans="1:6" x14ac:dyDescent="0.25">
      <c r="A8" s="95" t="s">
        <v>3</v>
      </c>
      <c r="B8" s="104">
        <f>C3</f>
        <v>0.16437098255280069</v>
      </c>
      <c r="C8" s="105"/>
      <c r="D8" s="106" t="s">
        <v>75</v>
      </c>
      <c r="E8" s="98"/>
      <c r="F8" s="106" t="s">
        <v>75</v>
      </c>
    </row>
    <row r="9" spans="1:6" x14ac:dyDescent="0.25">
      <c r="A9" s="95" t="s">
        <v>707</v>
      </c>
      <c r="B9" s="106" t="s">
        <v>75</v>
      </c>
      <c r="C9" s="105"/>
      <c r="D9" s="106" t="s">
        <v>75</v>
      </c>
      <c r="E9" s="98"/>
      <c r="F9" s="106" t="s">
        <v>75</v>
      </c>
    </row>
    <row r="10" spans="1:6" x14ac:dyDescent="0.25">
      <c r="A10" s="95" t="s">
        <v>156</v>
      </c>
      <c r="B10" s="178">
        <f>C5</f>
        <v>0</v>
      </c>
      <c r="C10" s="105"/>
      <c r="D10" s="106" t="s">
        <v>75</v>
      </c>
      <c r="E10" s="98"/>
      <c r="F10" s="106" t="s">
        <v>75</v>
      </c>
    </row>
    <row r="11" spans="1:6" ht="13.8" x14ac:dyDescent="0.3">
      <c r="A11" s="95"/>
      <c r="B11" s="107"/>
      <c r="C11" s="107"/>
      <c r="D11" s="108"/>
      <c r="E11" s="100"/>
      <c r="F11" s="108"/>
    </row>
    <row r="12" spans="1:6" x14ac:dyDescent="0.25">
      <c r="A12" s="97" t="s">
        <v>184</v>
      </c>
      <c r="B12" s="109">
        <f>beepasture*C4*C5</f>
        <v>0</v>
      </c>
      <c r="C12" s="110"/>
      <c r="D12" s="179">
        <f>B12/beepasture</f>
        <v>0</v>
      </c>
      <c r="E12" s="180"/>
      <c r="F12" s="179">
        <f>B12/((beepasture*43560)/1000)</f>
        <v>0</v>
      </c>
    </row>
    <row r="13" spans="1:6" x14ac:dyDescent="0.25">
      <c r="A13" s="95"/>
      <c r="B13" s="112"/>
      <c r="C13" s="113"/>
      <c r="D13" s="114"/>
      <c r="E13" s="115"/>
      <c r="F13" s="114"/>
    </row>
    <row r="14" spans="1:6" x14ac:dyDescent="0.25">
      <c r="A14" s="97" t="s">
        <v>4</v>
      </c>
      <c r="B14" s="116"/>
      <c r="C14" s="117"/>
      <c r="D14" s="114"/>
      <c r="E14" s="115"/>
      <c r="F14" s="114"/>
    </row>
    <row r="15" spans="1:6" x14ac:dyDescent="0.25">
      <c r="A15" s="118" t="s">
        <v>209</v>
      </c>
      <c r="B15" s="116"/>
      <c r="C15" s="117"/>
      <c r="D15" s="114"/>
      <c r="E15" s="115"/>
      <c r="F15" s="179"/>
    </row>
    <row r="16" spans="1:6" x14ac:dyDescent="0.25">
      <c r="A16" s="119" t="s">
        <v>5</v>
      </c>
      <c r="B16" s="120">
        <f>SUMPRODUCT('POLLINATOR PLANTING'!H21:H24,'POLLINATOR PLANTING'!K21:K24)</f>
        <v>0</v>
      </c>
      <c r="C16" s="121"/>
      <c r="D16" s="123">
        <f>B16/beepasture</f>
        <v>0</v>
      </c>
      <c r="E16" s="115"/>
      <c r="F16" s="123">
        <f>B16/((beepasture*43560)/1000)</f>
        <v>0</v>
      </c>
    </row>
    <row r="17" spans="1:10" x14ac:dyDescent="0.25">
      <c r="A17" s="119" t="s">
        <v>208</v>
      </c>
      <c r="B17" s="120">
        <f>SUMPRODUCT('POLLINATOR PLANTING'!H25:H26,'POLLINATOR PLANTING'!K25:K26)</f>
        <v>0</v>
      </c>
      <c r="C17" s="121"/>
      <c r="D17" s="123">
        <f>B17/beepasture</f>
        <v>0</v>
      </c>
      <c r="E17" s="122"/>
      <c r="F17" s="123">
        <f>B17/((beepasture*43560)/1000)</f>
        <v>0</v>
      </c>
    </row>
    <row r="18" spans="1:10" x14ac:dyDescent="0.25">
      <c r="A18" s="118" t="s">
        <v>6</v>
      </c>
      <c r="B18" s="116"/>
      <c r="C18" s="117"/>
      <c r="D18" s="114"/>
      <c r="E18" s="122"/>
      <c r="F18" s="114"/>
    </row>
    <row r="19" spans="1:10" x14ac:dyDescent="0.25">
      <c r="A19" s="119" t="s">
        <v>7</v>
      </c>
      <c r="B19" s="120">
        <f>SUMPRODUCT('POLLINATOR PLANTING'!H28,'POLLINATOR PLANTING'!K28)</f>
        <v>0</v>
      </c>
      <c r="C19" s="121"/>
      <c r="D19" s="123">
        <f t="shared" ref="D19:D33" si="0">B19/beepasture</f>
        <v>0</v>
      </c>
      <c r="E19" s="115"/>
      <c r="F19" s="123">
        <f t="shared" ref="F19:F33" si="1">B19/((beepasture*43560)/1000)</f>
        <v>0</v>
      </c>
    </row>
    <row r="20" spans="1:10" x14ac:dyDescent="0.25">
      <c r="A20" s="119" t="s">
        <v>350</v>
      </c>
      <c r="B20" s="120">
        <f>SUMPRODUCT('POLLINATOR PLANTING'!H29:H32,'POLLINATOR PLANTING'!K29:K32)</f>
        <v>26.687826846472863</v>
      </c>
      <c r="C20" s="121"/>
      <c r="D20" s="114">
        <f t="shared" si="0"/>
        <v>162.3633711497707</v>
      </c>
      <c r="E20" s="115"/>
      <c r="F20" s="114">
        <f t="shared" si="1"/>
        <v>3.7273501182224678</v>
      </c>
      <c r="I20" s="291"/>
    </row>
    <row r="21" spans="1:10" x14ac:dyDescent="0.25">
      <c r="A21" s="119" t="s">
        <v>8</v>
      </c>
      <c r="B21" s="120">
        <f>SUMPRODUCT('POLLINATOR PLANTING'!H33,'POLLINATOR PLANTING'!K33)</f>
        <v>0</v>
      </c>
      <c r="C21" s="121"/>
      <c r="D21" s="123">
        <f t="shared" si="0"/>
        <v>0</v>
      </c>
      <c r="E21" s="115"/>
      <c r="F21" s="123">
        <f t="shared" si="1"/>
        <v>0</v>
      </c>
    </row>
    <row r="22" spans="1:10" x14ac:dyDescent="0.25">
      <c r="A22" s="119" t="s">
        <v>472</v>
      </c>
      <c r="B22" s="121">
        <f>SUMPRODUCT('POLLINATOR PLANTING'!H34:H35,'POLLINATOR PLANTING'!K34:K35)</f>
        <v>5.5987107972230353E-2</v>
      </c>
      <c r="C22" s="121"/>
      <c r="D22" s="114">
        <f t="shared" si="0"/>
        <v>0.34061430492602723</v>
      </c>
      <c r="E22" s="115"/>
      <c r="F22" s="276">
        <f t="shared" si="1"/>
        <v>7.8194284877416715E-3</v>
      </c>
    </row>
    <row r="23" spans="1:10" x14ac:dyDescent="0.25">
      <c r="A23" s="118" t="s">
        <v>237</v>
      </c>
      <c r="B23" s="120">
        <f>SUMPRODUCT('POLLINATOR PLANTING'!H36,'POLLINATOR PLANTING'!K36)</f>
        <v>0</v>
      </c>
      <c r="C23" s="117"/>
      <c r="D23" s="123">
        <f t="shared" si="0"/>
        <v>0</v>
      </c>
      <c r="E23" s="115"/>
      <c r="F23" s="123">
        <f t="shared" si="1"/>
        <v>0</v>
      </c>
    </row>
    <row r="24" spans="1:10" x14ac:dyDescent="0.25">
      <c r="A24" s="118" t="s">
        <v>240</v>
      </c>
      <c r="B24" s="120">
        <f>SUMPRODUCT('POLLINATOR PLANTING'!H37:H39,'POLLINATOR PLANTING'!K37:K39)</f>
        <v>3482.9999999999991</v>
      </c>
      <c r="C24" s="117"/>
      <c r="D24" s="114">
        <f t="shared" si="0"/>
        <v>21189.871508379889</v>
      </c>
      <c r="E24" s="122"/>
      <c r="F24" s="114">
        <f t="shared" si="1"/>
        <v>486.45251396648041</v>
      </c>
    </row>
    <row r="25" spans="1:10" x14ac:dyDescent="0.25">
      <c r="A25" s="118" t="s">
        <v>351</v>
      </c>
      <c r="B25" s="116">
        <f>SUMPRODUCT('POLLINATOR PLANTING'!H41:H53,'POLLINATOR PLANTING'!K41:K53)</f>
        <v>189.6008678579002</v>
      </c>
      <c r="C25" s="117"/>
      <c r="D25" s="114">
        <f t="shared" si="0"/>
        <v>1153.4935480293484</v>
      </c>
      <c r="E25" s="122"/>
      <c r="F25" s="114">
        <f t="shared" si="1"/>
        <v>26.480568136578245</v>
      </c>
    </row>
    <row r="26" spans="1:10" x14ac:dyDescent="0.25">
      <c r="A26" s="118" t="s">
        <v>397</v>
      </c>
      <c r="B26" s="116">
        <f>SUMPRODUCT('POLLINATOR PLANTING'!H50:H51,'POLLINATOR PLANTING'!K50:K51)</f>
        <v>32.097653900140358</v>
      </c>
      <c r="C26" s="117"/>
      <c r="D26" s="114">
        <f t="shared" si="0"/>
        <v>195.27567093437352</v>
      </c>
      <c r="E26" s="122"/>
      <c r="F26" s="114">
        <f t="shared" si="1"/>
        <v>4.4829125558855258</v>
      </c>
    </row>
    <row r="27" spans="1:10" x14ac:dyDescent="0.25">
      <c r="A27" s="118" t="s">
        <v>719</v>
      </c>
      <c r="B27" s="116">
        <f>SUMPRODUCT('POLLINATOR PLANTING'!H52:H53,'POLLINATOR PLANTING'!K52:K53)</f>
        <v>0</v>
      </c>
      <c r="C27" s="117"/>
      <c r="D27" s="114">
        <f t="shared" ref="D27" si="2">B27/beepasture</f>
        <v>0</v>
      </c>
      <c r="E27" s="122"/>
      <c r="F27" s="114">
        <f t="shared" ref="F27" si="3">B27/((beepasture*43560)/1000)</f>
        <v>0</v>
      </c>
    </row>
    <row r="28" spans="1:10" x14ac:dyDescent="0.25">
      <c r="A28" s="118" t="s">
        <v>9</v>
      </c>
      <c r="B28" s="116">
        <f>SUMPRODUCT('POLLINATOR PLANTING'!H55:H164,'POLLINATOR PLANTING'!K55:K164)</f>
        <v>1328.6749158249154</v>
      </c>
      <c r="C28" s="117"/>
      <c r="D28" s="114">
        <f t="shared" si="0"/>
        <v>8083.3909683426436</v>
      </c>
      <c r="E28" s="115"/>
      <c r="F28" s="114">
        <f t="shared" si="1"/>
        <v>185.56912232191559</v>
      </c>
    </row>
    <row r="29" spans="1:10" x14ac:dyDescent="0.25">
      <c r="A29" s="118" t="s">
        <v>207</v>
      </c>
      <c r="B29" s="116">
        <f>SUMPRODUCT('POLLINATOR PLANTING'!H166:H168,'POLLINATOR PLANTING'!K166:K168)</f>
        <v>0</v>
      </c>
      <c r="C29" s="117"/>
      <c r="D29" s="123">
        <f t="shared" si="0"/>
        <v>0</v>
      </c>
      <c r="E29" s="122"/>
      <c r="F29" s="123">
        <f t="shared" si="1"/>
        <v>0</v>
      </c>
      <c r="H29" s="125"/>
      <c r="I29" s="126"/>
      <c r="J29" s="127"/>
    </row>
    <row r="30" spans="1:10" x14ac:dyDescent="0.25">
      <c r="A30" s="118" t="s">
        <v>206</v>
      </c>
      <c r="B30" s="116">
        <f>SUMPRODUCT('POLLINATOR PLANTING'!H170:H174,'POLLINATOR PLANTING'!K170:K174)</f>
        <v>0</v>
      </c>
      <c r="C30" s="117"/>
      <c r="D30" s="123">
        <f t="shared" si="0"/>
        <v>0</v>
      </c>
      <c r="E30" s="122"/>
      <c r="F30" s="123">
        <f t="shared" si="1"/>
        <v>0</v>
      </c>
      <c r="H30" s="125"/>
      <c r="I30" s="126"/>
      <c r="J30" s="127"/>
    </row>
    <row r="31" spans="1:10" x14ac:dyDescent="0.25">
      <c r="A31" s="118" t="s">
        <v>205</v>
      </c>
      <c r="B31" s="116">
        <f>SUMPRODUCT('POLLINATOR PLANTING'!H176:H266,'POLLINATOR PLANTING'!K176:K266)+(SUMPRODUCT('POLLINATOR PLANTING'!H286:H287,'POLLINATOR PLANTING'!K286:K287))/4</f>
        <v>7.9812187531884353</v>
      </c>
      <c r="C31" s="117"/>
      <c r="D31" s="114">
        <f t="shared" si="0"/>
        <v>48.556129733084965</v>
      </c>
      <c r="E31" s="115"/>
      <c r="F31" s="114">
        <f t="shared" si="1"/>
        <v>1.114695356590564</v>
      </c>
    </row>
    <row r="32" spans="1:10" x14ac:dyDescent="0.25">
      <c r="A32" s="118" t="s">
        <v>67</v>
      </c>
      <c r="B32" s="116">
        <f>SUMPRODUCT('POLLINATOR PLANTING'!H289:H292,'POLLINATOR PLANTING'!K289:K292)</f>
        <v>0</v>
      </c>
      <c r="C32" s="117"/>
      <c r="D32" s="123">
        <f t="shared" si="0"/>
        <v>0</v>
      </c>
      <c r="E32" s="115"/>
      <c r="F32" s="123">
        <f t="shared" si="1"/>
        <v>0</v>
      </c>
      <c r="H32" s="125"/>
    </row>
    <row r="33" spans="1:8" x14ac:dyDescent="0.25">
      <c r="A33" s="118" t="s">
        <v>14</v>
      </c>
      <c r="B33" s="116">
        <f>SUMPRODUCT('POLLINATOR PLANTING'!H294:H295,'POLLINATOR PLANTING'!K294:K295)*'POLLINATOR PLANTING'!J1</f>
        <v>3.0500000000000003</v>
      </c>
      <c r="C33" s="117"/>
      <c r="D33" s="114">
        <f t="shared" si="0"/>
        <v>18.555586592178777</v>
      </c>
      <c r="E33" s="115"/>
      <c r="F33" s="114">
        <f t="shared" si="1"/>
        <v>0.42597765363128504</v>
      </c>
      <c r="H33" s="125"/>
    </row>
    <row r="34" spans="1:8" x14ac:dyDescent="0.25">
      <c r="A34" s="118" t="s">
        <v>15</v>
      </c>
      <c r="B34" s="120"/>
      <c r="C34" s="121"/>
      <c r="D34" s="114"/>
      <c r="E34" s="115"/>
      <c r="F34" s="114"/>
    </row>
    <row r="35" spans="1:8" x14ac:dyDescent="0.25">
      <c r="A35" s="119" t="s">
        <v>203</v>
      </c>
      <c r="B35" s="120">
        <f>SUMPRODUCT('POLLINATOR PLANTING'!H297,'POLLINATOR PLANTING'!K297)</f>
        <v>0</v>
      </c>
      <c r="C35" s="121"/>
      <c r="D35" s="123">
        <f t="shared" ref="D35:D48" si="4">B35/beepasture</f>
        <v>0</v>
      </c>
      <c r="E35" s="122"/>
      <c r="F35" s="123">
        <f t="shared" ref="F35:F48" si="5">B35/((beepasture*43560)/1000)</f>
        <v>0</v>
      </c>
    </row>
    <row r="36" spans="1:8" x14ac:dyDescent="0.25">
      <c r="A36" s="119" t="s">
        <v>16</v>
      </c>
      <c r="B36" s="120">
        <f>SUMPRODUCT('POLLINATOR PLANTING'!H298,'POLLINATOR PLANTING'!K298)</f>
        <v>0</v>
      </c>
      <c r="C36" s="121"/>
      <c r="D36" s="123">
        <f t="shared" si="4"/>
        <v>0</v>
      </c>
      <c r="E36" s="122"/>
      <c r="F36" s="123">
        <f t="shared" si="5"/>
        <v>0</v>
      </c>
    </row>
    <row r="37" spans="1:8" x14ac:dyDescent="0.25">
      <c r="A37" s="119" t="s">
        <v>17</v>
      </c>
      <c r="B37" s="120">
        <f>SUMPRODUCT('POLLINATOR PLANTING'!H299,'POLLINATOR PLANTING'!K299)</f>
        <v>0</v>
      </c>
      <c r="C37" s="121"/>
      <c r="D37" s="123">
        <f t="shared" si="4"/>
        <v>0</v>
      </c>
      <c r="E37" s="122"/>
      <c r="F37" s="123">
        <f t="shared" si="5"/>
        <v>0</v>
      </c>
    </row>
    <row r="38" spans="1:8" x14ac:dyDescent="0.25">
      <c r="A38" s="119" t="s">
        <v>18</v>
      </c>
      <c r="B38" s="120">
        <f>SUMPRODUCT('POLLINATOR PLANTING'!H300,'POLLINATOR PLANTING'!K300)</f>
        <v>0</v>
      </c>
      <c r="C38" s="121"/>
      <c r="D38" s="123">
        <f t="shared" si="4"/>
        <v>0</v>
      </c>
      <c r="E38" s="122"/>
      <c r="F38" s="123">
        <f t="shared" si="5"/>
        <v>0</v>
      </c>
    </row>
    <row r="39" spans="1:8" x14ac:dyDescent="0.25">
      <c r="A39" s="119" t="s">
        <v>371</v>
      </c>
      <c r="B39" s="120">
        <f>SUMPRODUCT('POLLINATOR PLANTING'!H301,'POLLINATOR PLANTING'!K301)</f>
        <v>0</v>
      </c>
      <c r="C39" s="121"/>
      <c r="D39" s="123">
        <f t="shared" si="4"/>
        <v>0</v>
      </c>
      <c r="E39" s="122"/>
      <c r="F39" s="123">
        <f t="shared" si="5"/>
        <v>0</v>
      </c>
    </row>
    <row r="40" spans="1:8" x14ac:dyDescent="0.25">
      <c r="A40" s="119" t="s">
        <v>372</v>
      </c>
      <c r="B40" s="120">
        <f>SUMPRODUCT('POLLINATOR PLANTING'!H302,'POLLINATOR PLANTING'!K302)</f>
        <v>0</v>
      </c>
      <c r="C40" s="121"/>
      <c r="D40" s="123">
        <f t="shared" si="4"/>
        <v>0</v>
      </c>
      <c r="E40" s="122"/>
      <c r="F40" s="123">
        <f t="shared" si="5"/>
        <v>0</v>
      </c>
    </row>
    <row r="41" spans="1:8" x14ac:dyDescent="0.25">
      <c r="A41" s="119" t="s">
        <v>373</v>
      </c>
      <c r="B41" s="120">
        <f>SUMPRODUCT('POLLINATOR PLANTING'!H303,'POLLINATOR PLANTING'!K303)</f>
        <v>0</v>
      </c>
      <c r="C41" s="121"/>
      <c r="D41" s="123">
        <f t="shared" si="4"/>
        <v>0</v>
      </c>
      <c r="E41" s="122"/>
      <c r="F41" s="123">
        <f t="shared" si="5"/>
        <v>0</v>
      </c>
    </row>
    <row r="42" spans="1:8" x14ac:dyDescent="0.25">
      <c r="A42" s="119" t="s">
        <v>374</v>
      </c>
      <c r="B42" s="120">
        <f>SUMPRODUCT('POLLINATOR PLANTING'!H304,'POLLINATOR PLANTING'!K304)</f>
        <v>0</v>
      </c>
      <c r="C42" s="121"/>
      <c r="D42" s="123">
        <f t="shared" si="4"/>
        <v>0</v>
      </c>
      <c r="E42" s="122"/>
      <c r="F42" s="123">
        <f t="shared" si="5"/>
        <v>0</v>
      </c>
    </row>
    <row r="43" spans="1:8" x14ac:dyDescent="0.25">
      <c r="A43" s="119" t="s">
        <v>216</v>
      </c>
      <c r="B43" s="120">
        <f>SUMPRODUCT('POLLINATOR PLANTING'!H305,'POLLINATOR PLANTING'!K305)</f>
        <v>0</v>
      </c>
      <c r="C43" s="121"/>
      <c r="D43" s="123">
        <f t="shared" si="4"/>
        <v>0</v>
      </c>
      <c r="E43" s="122"/>
      <c r="F43" s="123">
        <f t="shared" si="5"/>
        <v>0</v>
      </c>
    </row>
    <row r="44" spans="1:8" x14ac:dyDescent="0.25">
      <c r="A44" s="119" t="s">
        <v>19</v>
      </c>
      <c r="B44" s="120">
        <f>SUMPRODUCT('POLLINATOR PLANTING'!H306,'POLLINATOR PLANTING'!K306)</f>
        <v>0</v>
      </c>
      <c r="C44" s="121"/>
      <c r="D44" s="123">
        <f t="shared" si="4"/>
        <v>0</v>
      </c>
      <c r="E44" s="122"/>
      <c r="F44" s="123">
        <f t="shared" si="5"/>
        <v>0</v>
      </c>
    </row>
    <row r="45" spans="1:8" x14ac:dyDescent="0.25">
      <c r="A45" s="119" t="s">
        <v>20</v>
      </c>
      <c r="B45" s="120">
        <f>SUMPRODUCT('POLLINATOR PLANTING'!H307,'POLLINATOR PLANTING'!K307)</f>
        <v>0</v>
      </c>
      <c r="C45" s="121"/>
      <c r="D45" s="123">
        <f t="shared" si="4"/>
        <v>0</v>
      </c>
      <c r="E45" s="122"/>
      <c r="F45" s="123">
        <f t="shared" si="5"/>
        <v>0</v>
      </c>
    </row>
    <row r="46" spans="1:8" x14ac:dyDescent="0.25">
      <c r="A46" s="119" t="s">
        <v>21</v>
      </c>
      <c r="B46" s="120">
        <f>SUMPRODUCT('POLLINATOR PLANTING'!H308,'POLLINATOR PLANTING'!K308)</f>
        <v>0</v>
      </c>
      <c r="C46" s="121"/>
      <c r="D46" s="123">
        <f t="shared" si="4"/>
        <v>0</v>
      </c>
      <c r="E46" s="122"/>
      <c r="F46" s="123">
        <f t="shared" si="5"/>
        <v>0</v>
      </c>
    </row>
    <row r="47" spans="1:8" x14ac:dyDescent="0.25">
      <c r="A47" s="119" t="s">
        <v>22</v>
      </c>
      <c r="B47" s="120">
        <f>SUMPRODUCT('POLLINATOR PLANTING'!H310:H311,'POLLINATOR PLANTING'!K310:K311)</f>
        <v>0</v>
      </c>
      <c r="C47" s="121"/>
      <c r="D47" s="123">
        <f t="shared" si="4"/>
        <v>0</v>
      </c>
      <c r="E47" s="115"/>
      <c r="F47" s="123">
        <f t="shared" si="5"/>
        <v>0</v>
      </c>
    </row>
    <row r="48" spans="1:8" ht="13.8" thickBot="1" x14ac:dyDescent="0.3">
      <c r="A48" s="118" t="s">
        <v>23</v>
      </c>
      <c r="B48" s="120">
        <f>SUMPRODUCT('POLLINATOR PLANTING'!H293,'POLLINATOR PLANTING'!K293)</f>
        <v>0</v>
      </c>
      <c r="C48" s="121"/>
      <c r="D48" s="123">
        <f t="shared" si="4"/>
        <v>0</v>
      </c>
      <c r="E48" s="115"/>
      <c r="F48" s="123">
        <f t="shared" si="5"/>
        <v>0</v>
      </c>
    </row>
    <row r="49" spans="1:8" ht="13.8" thickBot="1" x14ac:dyDescent="0.3">
      <c r="A49" s="606" t="s">
        <v>24</v>
      </c>
      <c r="B49" s="607">
        <f>SUM(B15:B48)</f>
        <v>5071.1484702905891</v>
      </c>
      <c r="C49" s="129"/>
      <c r="D49" s="609">
        <f>SUM(D15:D48)</f>
        <v>30851.847397466216</v>
      </c>
      <c r="E49" s="130"/>
      <c r="F49" s="609">
        <f>SUM(F15:F48)</f>
        <v>708.26095953779179</v>
      </c>
    </row>
    <row r="50" spans="1:8" x14ac:dyDescent="0.25">
      <c r="A50" s="131"/>
      <c r="B50" s="120"/>
      <c r="C50" s="121"/>
      <c r="D50" s="132"/>
      <c r="E50" s="133"/>
      <c r="F50" s="133"/>
    </row>
    <row r="51" spans="1:8" x14ac:dyDescent="0.25">
      <c r="A51" s="97" t="s">
        <v>25</v>
      </c>
      <c r="B51" s="128">
        <f>SUM('POLLINATOR PLANTING'!B315:B321)</f>
        <v>0</v>
      </c>
      <c r="C51" s="129"/>
      <c r="D51" s="179">
        <f>B51/beepasture</f>
        <v>0</v>
      </c>
      <c r="E51" s="130"/>
      <c r="F51" s="179">
        <f>B51/((beepasture*43560)/1000)</f>
        <v>0</v>
      </c>
    </row>
    <row r="52" spans="1:8" x14ac:dyDescent="0.25">
      <c r="A52" s="131"/>
      <c r="B52" s="120"/>
      <c r="C52" s="121"/>
      <c r="D52" s="132"/>
      <c r="E52" s="133"/>
      <c r="F52" s="133"/>
    </row>
    <row r="53" spans="1:8" x14ac:dyDescent="0.25">
      <c r="A53" s="97" t="s">
        <v>26</v>
      </c>
      <c r="B53" s="120"/>
      <c r="C53" s="121"/>
      <c r="D53" s="132"/>
      <c r="E53" s="133"/>
      <c r="F53" s="133"/>
    </row>
    <row r="54" spans="1:8" x14ac:dyDescent="0.25">
      <c r="A54" s="118" t="s">
        <v>27</v>
      </c>
      <c r="B54" s="120"/>
      <c r="C54" s="121"/>
      <c r="D54" s="114"/>
      <c r="E54" s="133"/>
      <c r="F54" s="114"/>
    </row>
    <row r="55" spans="1:8" x14ac:dyDescent="0.25">
      <c r="A55" s="119" t="s">
        <v>28</v>
      </c>
      <c r="B55" s="120">
        <f>SUMPRODUCT('POLLINATOR PLANTING'!H328:H334,'POLLINATOR PLANTING'!I328:I334)</f>
        <v>50000</v>
      </c>
      <c r="C55" s="121"/>
      <c r="D55" s="114">
        <f t="shared" ref="D55:D62" si="6">IF(beepasture&lt;1,B55,B55/beepasture)</f>
        <v>50000</v>
      </c>
      <c r="E55" s="122"/>
      <c r="F55" s="114">
        <f t="shared" ref="F55:F62" si="7">B55/((beepasture*43560)/1000)</f>
        <v>6983.2402234636884</v>
      </c>
    </row>
    <row r="56" spans="1:8" x14ac:dyDescent="0.25">
      <c r="A56" s="119" t="s">
        <v>375</v>
      </c>
      <c r="B56" s="120">
        <f>SUMPRODUCT('POLLINATOR PLANTING'!H335:H375,'POLLINATOR PLANTING'!I335:I375)</f>
        <v>12345.18</v>
      </c>
      <c r="C56" s="121"/>
      <c r="D56" s="114">
        <f t="shared" si="6"/>
        <v>12345.18</v>
      </c>
      <c r="E56" s="122"/>
      <c r="F56" s="114">
        <f t="shared" si="7"/>
        <v>1724.1871508379893</v>
      </c>
    </row>
    <row r="57" spans="1:8" x14ac:dyDescent="0.25">
      <c r="A57" s="119" t="s">
        <v>29</v>
      </c>
      <c r="B57" s="120">
        <f>SUMPRODUCT('POLLINATOR PLANTING'!H376:H379,'POLLINATOR PLANTING'!I376:I379)</f>
        <v>1000</v>
      </c>
      <c r="C57" s="121"/>
      <c r="D57" s="114">
        <f t="shared" si="6"/>
        <v>1000</v>
      </c>
      <c r="E57" s="122"/>
      <c r="F57" s="114">
        <f t="shared" si="7"/>
        <v>139.66480446927378</v>
      </c>
      <c r="H57"/>
    </row>
    <row r="58" spans="1:8" x14ac:dyDescent="0.25">
      <c r="A58" s="119" t="s">
        <v>30</v>
      </c>
      <c r="B58" s="120">
        <f>SUMPRODUCT('POLLINATOR PLANTING'!H380:H386,'POLLINATOR PLANTING'!I380:I386)</f>
        <v>50000</v>
      </c>
      <c r="C58" s="121"/>
      <c r="D58" s="114">
        <f t="shared" si="6"/>
        <v>50000</v>
      </c>
      <c r="E58" s="122"/>
      <c r="F58" s="114">
        <f t="shared" si="7"/>
        <v>6983.2402234636884</v>
      </c>
      <c r="H58"/>
    </row>
    <row r="59" spans="1:8" x14ac:dyDescent="0.25">
      <c r="A59" s="119" t="s">
        <v>31</v>
      </c>
      <c r="B59" s="120">
        <f>SUMPRODUCT('POLLINATOR PLANTING'!H387,'POLLINATOR PLANTING'!I387)</f>
        <v>1643.7098255280068</v>
      </c>
      <c r="C59" s="121"/>
      <c r="D59" s="114">
        <f t="shared" si="6"/>
        <v>1643.7098255280068</v>
      </c>
      <c r="E59" s="115"/>
      <c r="F59" s="114">
        <f t="shared" si="7"/>
        <v>229.5684113865932</v>
      </c>
      <c r="H59"/>
    </row>
    <row r="60" spans="1:8" x14ac:dyDescent="0.25">
      <c r="A60" s="118" t="s">
        <v>32</v>
      </c>
      <c r="B60" s="120">
        <f>SUMPRODUCT('POLLINATOR PLANTING'!H389,'POLLINATOR PLANTING'!K389)</f>
        <v>0</v>
      </c>
      <c r="C60" s="121"/>
      <c r="D60" s="123">
        <f t="shared" si="6"/>
        <v>0</v>
      </c>
      <c r="E60" s="133"/>
      <c r="F60" s="123">
        <f t="shared" si="7"/>
        <v>0</v>
      </c>
      <c r="H60"/>
    </row>
    <row r="61" spans="1:8" x14ac:dyDescent="0.25">
      <c r="A61" s="118" t="s">
        <v>127</v>
      </c>
      <c r="B61" s="120">
        <f>SUMPRODUCT('POLLINATOR PLANTING'!H390:H394,'POLLINATOR PLANTING'!K390:K394)</f>
        <v>0</v>
      </c>
      <c r="C61" s="121"/>
      <c r="D61" s="123">
        <f t="shared" si="6"/>
        <v>0</v>
      </c>
      <c r="E61" s="133"/>
      <c r="F61" s="123">
        <f t="shared" si="7"/>
        <v>0</v>
      </c>
      <c r="H61"/>
    </row>
    <row r="62" spans="1:8" x14ac:dyDescent="0.25">
      <c r="A62" s="118" t="s">
        <v>33</v>
      </c>
      <c r="B62" s="120">
        <f>SUMPRODUCT('POLLINATOR PLANTING'!H395:H397,'POLLINATOR PLANTING'!K395:K397)</f>
        <v>42.874196510560139</v>
      </c>
      <c r="C62" s="121"/>
      <c r="D62" s="114">
        <f t="shared" si="6"/>
        <v>42.874196510560139</v>
      </c>
      <c r="E62" s="133"/>
      <c r="F62" s="114">
        <f t="shared" si="7"/>
        <v>5.988016272424602</v>
      </c>
      <c r="H62"/>
    </row>
    <row r="63" spans="1:8" x14ac:dyDescent="0.25">
      <c r="A63" s="97" t="s">
        <v>34</v>
      </c>
      <c r="B63" s="128">
        <f>SUM(B54:B62)</f>
        <v>115031.76402203855</v>
      </c>
      <c r="C63" s="129"/>
      <c r="D63" s="130">
        <f>SUM(D54:D62)</f>
        <v>115031.76402203855</v>
      </c>
      <c r="E63" s="130"/>
      <c r="F63" s="130">
        <f>SUM(F54:F62)</f>
        <v>16065.888829893658</v>
      </c>
      <c r="H63"/>
    </row>
    <row r="64" spans="1:8" x14ac:dyDescent="0.25">
      <c r="A64" s="95"/>
      <c r="B64" s="128"/>
      <c r="C64" s="129"/>
      <c r="D64" s="130"/>
      <c r="E64" s="134"/>
      <c r="F64" s="134"/>
      <c r="H64"/>
    </row>
    <row r="65" spans="1:8" x14ac:dyDescent="0.25">
      <c r="A65" s="97" t="s">
        <v>185</v>
      </c>
      <c r="B65" s="128">
        <f>B63+B51+B49</f>
        <v>120102.91249232914</v>
      </c>
      <c r="C65" s="129"/>
      <c r="D65" s="129">
        <f>D63+D51+D49</f>
        <v>145883.61141950477</v>
      </c>
      <c r="E65" s="130"/>
      <c r="F65" s="129">
        <f>F63+F51+F49</f>
        <v>16774.149789431449</v>
      </c>
      <c r="H65"/>
    </row>
    <row r="66" spans="1:8" ht="13.8" x14ac:dyDescent="0.3">
      <c r="A66" s="135"/>
      <c r="B66" s="128"/>
      <c r="C66" s="129"/>
      <c r="D66" s="130"/>
      <c r="E66" s="130"/>
      <c r="F66" s="130"/>
      <c r="H66"/>
    </row>
    <row r="67" spans="1:8" x14ac:dyDescent="0.25">
      <c r="A67" s="97" t="s">
        <v>698</v>
      </c>
      <c r="B67" s="109">
        <f>B12-B65</f>
        <v>-120102.91249232914</v>
      </c>
      <c r="C67" s="129"/>
      <c r="D67" s="111">
        <f>D12-D65</f>
        <v>-145883.61141950477</v>
      </c>
      <c r="E67" s="130"/>
      <c r="F67" s="111">
        <f>F12-F65</f>
        <v>-16774.149789431449</v>
      </c>
      <c r="H67"/>
    </row>
    <row r="68" spans="1:8" x14ac:dyDescent="0.25">
      <c r="A68" s="97" t="s">
        <v>115</v>
      </c>
      <c r="B68" s="128">
        <f>B12-B49</f>
        <v>-5071.1484702905891</v>
      </c>
      <c r="C68" s="129"/>
      <c r="D68" s="130">
        <f>D12-D49</f>
        <v>-30851.847397466216</v>
      </c>
      <c r="E68" s="130"/>
      <c r="F68" s="130">
        <f>F12-F49</f>
        <v>-708.26095953779179</v>
      </c>
      <c r="H68"/>
    </row>
    <row r="69" spans="1:8" x14ac:dyDescent="0.25">
      <c r="A69" s="95"/>
      <c r="B69" s="94"/>
      <c r="C69" s="94"/>
      <c r="D69" s="106"/>
      <c r="E69" s="98"/>
      <c r="F69" s="98"/>
      <c r="H69"/>
    </row>
    <row r="70" spans="1:8" x14ac:dyDescent="0.25">
      <c r="A70" s="97" t="s">
        <v>116</v>
      </c>
      <c r="B70" s="94"/>
      <c r="C70" s="94"/>
      <c r="D70" s="106"/>
      <c r="E70" s="98"/>
      <c r="F70" s="98"/>
      <c r="H70"/>
    </row>
    <row r="71" spans="1:8" x14ac:dyDescent="0.25">
      <c r="A71" s="136" t="s">
        <v>117</v>
      </c>
      <c r="B71" s="94"/>
      <c r="C71" s="94"/>
      <c r="D71" s="98" t="s">
        <v>37</v>
      </c>
      <c r="E71" s="98"/>
      <c r="F71" s="98" t="s">
        <v>478</v>
      </c>
      <c r="H71"/>
    </row>
    <row r="72" spans="1:8" x14ac:dyDescent="0.25">
      <c r="A72" s="118" t="s">
        <v>118</v>
      </c>
      <c r="B72" s="94"/>
      <c r="C72" s="94"/>
      <c r="D72" s="114">
        <f>$B$65/beepasture</f>
        <v>730681.96482763393</v>
      </c>
      <c r="E72" s="115"/>
      <c r="F72" s="114">
        <f>$B$65/((beepasture*43560)/1000)</f>
        <v>16774.149789431449</v>
      </c>
      <c r="H72"/>
    </row>
    <row r="73" spans="1:8" x14ac:dyDescent="0.25">
      <c r="A73" s="118" t="s">
        <v>35</v>
      </c>
      <c r="B73" s="94"/>
      <c r="C73" s="94"/>
      <c r="D73" s="114">
        <f>$B$49/beepasture</f>
        <v>30851.847397466219</v>
      </c>
      <c r="E73" s="115"/>
      <c r="F73" s="114">
        <f>$B$49/((beepasture*43560)/1000)</f>
        <v>708.2609595377919</v>
      </c>
      <c r="H73"/>
    </row>
    <row r="74" spans="1:8" x14ac:dyDescent="0.25">
      <c r="A74" s="137"/>
      <c r="B74" s="138"/>
      <c r="C74" s="138"/>
      <c r="D74" s="139"/>
      <c r="E74" s="140"/>
      <c r="F74" s="140"/>
      <c r="H74"/>
    </row>
  </sheetData>
  <pageMargins left="0.7" right="0.7" top="0.75" bottom="0.75" header="0.3" footer="0.3"/>
  <pageSetup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KEY DATA</vt:lpstr>
      <vt:lpstr>POLLINATOR PLANTING</vt:lpstr>
      <vt:lpstr>SEED-SEEDLING Selection</vt:lpstr>
      <vt:lpstr>PPBudPrintLong</vt:lpstr>
      <vt:lpstr>PPBudPrintShort</vt:lpstr>
      <vt:lpstr>PPBudPrintUpFront</vt:lpstr>
      <vt:lpstr>beepasture</vt:lpstr>
      <vt:lpstr>PPBudPrintShort!Print_Area</vt:lpstr>
      <vt:lpstr>PPBudPrintUpFront!Print_Area</vt:lpstr>
      <vt:lpstr>'SEED-SEEDLING Selection'!Print_Area</vt:lpstr>
    </vt:vector>
  </TitlesOfParts>
  <Company>JC,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Pollinator Project Budgets</dc:title>
  <dc:subject>Pollination Security</dc:subject>
  <dc:creator>Aaron Hoshide &amp; Cathy Neal &amp; Eric Venturini</dc:creator>
  <cp:lastModifiedBy>Sensei</cp:lastModifiedBy>
  <cp:lastPrinted>2015-08-14T18:58:45Z</cp:lastPrinted>
  <dcterms:created xsi:type="dcterms:W3CDTF">2010-11-23T20:06:00Z</dcterms:created>
  <dcterms:modified xsi:type="dcterms:W3CDTF">2016-02-26T03:54:10Z</dcterms:modified>
</cp:coreProperties>
</file>